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fileSharing readOnlyRecommended="1" userName="Dulude, Émilie" algorithmName="SHA-512" hashValue="tQ9EOF9WFefXJSa1Ig45yTS77sOlgu5Hk+nojpWkW/ox6cgyknSjSx1pADFk4eN1rTps4it+QpCzS7h9vTFpYw==" saltValue="isbtDaEt345eZ/N9e8LPfQ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s Documents\005-Agronomie, recherche, développement et formation\Développement\Tomate\Projet Forest Lavoie\Rapport final\"/>
    </mc:Choice>
  </mc:AlternateContent>
  <xr:revisionPtr revIDLastSave="0" documentId="8_{D297F9F9-0558-4483-A1C6-1F658B981144}" xr6:coauthVersionLast="47" xr6:coauthVersionMax="47" xr10:uidLastSave="{00000000-0000-0000-0000-000000000000}"/>
  <bookViews>
    <workbookView xWindow="-108" yWindow="-108" windowWidth="23256" windowHeight="12456" tabRatio="747" xr2:uid="{5A9B93CA-BC8D-4543-B691-BD39C9547AE5}"/>
  </bookViews>
  <sheets>
    <sheet name="A - États des résultat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0" localSheetId="0">#REF!</definedName>
    <definedName name="\0">'[1]Données oeufs'!#REF!</definedName>
    <definedName name="\d" localSheetId="0">#REF!</definedName>
    <definedName name="\d">'[1]Données oeufs'!#REF!</definedName>
    <definedName name="\g" localSheetId="0">#REF!</definedName>
    <definedName name="\g">'[1]Données oeufs'!#REF!</definedName>
    <definedName name="\m" localSheetId="0">#REF!</definedName>
    <definedName name="\m">'[1]Données oeufs'!#REF!</definedName>
    <definedName name="\p" localSheetId="0">#REF!</definedName>
    <definedName name="\p">'[1]Données oeufs'!#REF!</definedName>
    <definedName name="\x" localSheetId="0">#REF!</definedName>
    <definedName name="\x">'[1]Données oeufs'!#REF!</definedName>
    <definedName name="__bd1" localSheetId="0">Scheduled_Payment+Extra_Payment</definedName>
    <definedName name="__bd1">Scheduled_Payment+Extra_Payment</definedName>
    <definedName name="_bd1" localSheetId="0">Scheduled_Payment+Extra_Payment</definedName>
    <definedName name="_bd1">Scheduled_Payment+Extra_Payment</definedName>
    <definedName name="_Fill" localSheetId="0" hidden="1">#REF!</definedName>
    <definedName name="_Fill" hidden="1">[2]CR!#REF!</definedName>
    <definedName name="allo">#N/A</definedName>
    <definedName name="Anniversaire" localSheetId="0">#REF!,#REF!,#REF!,#REF!</definedName>
    <definedName name="Anniversaire">#REF!,#REF!,#REF!,#REF!</definedName>
    <definedName name="bd" localSheetId="0">Scheduled_Payment+Extra_Payment</definedName>
    <definedName name="bd">Scheduled_Payment+Extra_Payment</definedName>
    <definedName name="bd_1">#NAME?+#NAME?</definedName>
    <definedName name="Beg_Bal" localSheetId="0">#REF!</definedName>
    <definedName name="Beg_Bal">#REF!</definedName>
    <definedName name="Beg_Bal_1" localSheetId="0">#REF!</definedName>
    <definedName name="Beg_Bal_1">#REF!</definedName>
    <definedName name="Benchmark" localSheetId="0">#REF!</definedName>
    <definedName name="Benchmark">#REF!</definedName>
    <definedName name="Benchmark_1" localSheetId="0">#REF!</definedName>
    <definedName name="Benchmark_1">#REF!</definedName>
    <definedName name="BLOC1" localSheetId="0">#REF!</definedName>
    <definedName name="BLOC1">[3]cri!$E$1</definedName>
    <definedName name="BLOC1_1" localSheetId="0">#REF!</definedName>
    <definedName name="BLOC1_1">[3]cri!$E$1</definedName>
    <definedName name="CAP1E" localSheetId="0">#REF!</definedName>
    <definedName name="CAP1E">#REF!</definedName>
    <definedName name="CapitFIXE" localSheetId="0">#REF!</definedName>
    <definedName name="CapitFIXE">#REF!</definedName>
    <definedName name="cash" localSheetId="0">INDEX(#REF!,Fiche)</definedName>
    <definedName name="cash">INDEX([4]!Employés[Nom de l’employé],Fiche)</definedName>
    <definedName name="Changement_de_taux" localSheetId="0">#REF!</definedName>
    <definedName name="Changement_de_taux">#REF!</definedName>
    <definedName name="choix1" localSheetId="0">#REF!</definedName>
    <definedName name="choix1">#REF!</definedName>
    <definedName name="choix2" localSheetId="0">#REF!</definedName>
    <definedName name="choix2">#REF!</definedName>
    <definedName name="Copie" localSheetId="0">Scheduled_Payment+Extra_Payment</definedName>
    <definedName name="Copie">Scheduled_Payment+Extra_Payment</definedName>
    <definedName name="Cout_Total" localSheetId="0">#REF!</definedName>
    <definedName name="Cout_Total">#REF!</definedName>
    <definedName name="Data" localSheetId="0">#REF!</definedName>
    <definedName name="Data">#REF!</definedName>
    <definedName name="Data_1" localSheetId="0">#REF!</definedName>
    <definedName name="Data_1">#REF!</definedName>
    <definedName name="DATDB" localSheetId="0">#REF!</definedName>
    <definedName name="DATDB">#REF!</definedName>
    <definedName name="date_rapport" localSheetId="0">#REF!</definedName>
    <definedName name="date_rapport">#REF!</definedName>
    <definedName name="DebAmort" localSheetId="0">#REF!</definedName>
    <definedName name="DebAmort">#REF!</definedName>
    <definedName name="Différé" localSheetId="0">#REF!</definedName>
    <definedName name="Différé">#REF!</definedName>
    <definedName name="DiffSimple" localSheetId="0">#REF!</definedName>
    <definedName name="DiffSimple">#REF!</definedName>
    <definedName name="DiffTotal" localSheetId="0">#REF!</definedName>
    <definedName name="DiffTotal">#REF!</definedName>
    <definedName name="EchFIXE" localSheetId="0">#REF!</definedName>
    <definedName name="EchFIXE">#REF!</definedName>
    <definedName name="ECRAN5" localSheetId="0">#REF!</definedName>
    <definedName name="ECRAN5">'[1]Données oeufs'!#REF!</definedName>
    <definedName name="EF_complete" localSheetId="0">#REF!</definedName>
    <definedName name="EF_complete">#REF!</definedName>
    <definedName name="EmpActuels" localSheetId="0">INDEX(#REF!,Fiche)</definedName>
    <definedName name="EmpActuels">INDEX([4]!Employés[Nom de l’employé],Fiche)</definedName>
    <definedName name="End_Bal" localSheetId="0">#REF!</definedName>
    <definedName name="End_Bal">#REF!</definedName>
    <definedName name="End_Bal_1" localSheetId="0">#REF!</definedName>
    <definedName name="End_Bal_1">#REF!</definedName>
    <definedName name="ENTRER" localSheetId="0">#REF!</definedName>
    <definedName name="ENTRER">'[1]Données oeufs'!#REF!</definedName>
    <definedName name="Equipements" localSheetId="0">DATE(YEAR('A - États des résultats'!Loan_Start),MONTH('A - États des résultats'!Loan_Start)+Payment_Number,DAY('A - États des résultats'!Loan_Start))</definedName>
    <definedName name="Equipements">DATE(YEAR(Loan_Start),MONTH(Loan_Start)+Payment_Number,DAY(Loan_Start))</definedName>
    <definedName name="Équipements" localSheetId="0">DATE(YEAR(#REF!),MONTH(#REF!)+Payment_Number,DAY(#REF!))</definedName>
    <definedName name="Équipements">DATE(YEAR([5]!Loan_Start),MONTH([5]!Loan_Start)+Payment_Number,DAY([5]!Loan_Start))</definedName>
    <definedName name="Equipements_1">NA()</definedName>
    <definedName name="exemple" localSheetId="0">Scheduled_Payment+Extra_Payment</definedName>
    <definedName name="exemple">Scheduled_Payment+Extra_Payment</definedName>
    <definedName name="Extra_Pay" localSheetId="0">#REF!</definedName>
    <definedName name="Extra_Pay">#REF!</definedName>
    <definedName name="Extra_Pay_1" localSheetId="0">#REF!</definedName>
    <definedName name="Extra_Pay_1">#REF!</definedName>
    <definedName name="fds" localSheetId="0">IF('A - États des résultats'!Loan_Amount*'A - États des résultats'!Interest_Rate*'A - États des résultats'!Loan_Years*'A - États des résultats'!Loan_Start&gt;0,1,0)</definedName>
    <definedName name="fds">IF(Loan_Amount*Interest_Rate*Loan_Years*Loan_Start&gt;0,1,0)</definedName>
    <definedName name="fds_1" localSheetId="0">IF('A - États des résultats'!Loan_Amount_1*'A - États des résultats'!Interest_Rate_1*'A - États des résultats'!Loan_Years_1*'A - États des résultats'!Loan_Start_1&gt;0,1,0)</definedName>
    <definedName name="fds_1">IF(Loan_Amount_1*Interest_Rate_1*Loan_Years_1*Loan_Start_1&gt;0,1,0)</definedName>
    <definedName name="Ferme_Bessette_1916_SENC" localSheetId="0">#REF!,#REF!,#REF!,#REF!,#REF!,#REF!,#REF!,#REF!,#REF! Etat</definedName>
    <definedName name="Ferme_Bessette_1916_SENC">[6]Etats_des_Resultats!$D:$F,[6]Etats_des_Resultats!$AG:$AI,[6]Etats_des_Resultats!$BJ:$BL,[6]Etats_des_Resultats!$CM:$CO,[6]Etats_des_Resultats!$DP:$DR,[6]Etats_des_Resultats!$GH:$GJ,[6]Etats_des_Resultats!$HK:$HM,[6]Etats_des_Resultats!$IN:$IP,[6]Etats_des_Resultats!$JQ:$JS Etat</definedName>
    <definedName name="Fiche">INT((ROW()-2)/12)+1</definedName>
    <definedName name="fill" localSheetId="0" hidden="1">#REF!</definedName>
    <definedName name="fill" hidden="1">'[7]FEV 07'!$AN$77</definedName>
    <definedName name="fofo" localSheetId="0">Scheduled_Payment+Extra_Payment</definedName>
    <definedName name="fofo">Scheduled_Payment+Extra_Payment</definedName>
    <definedName name="FraisF" localSheetId="0">#REF!</definedName>
    <definedName name="FraisF">#REF!</definedName>
    <definedName name="FraisV" localSheetId="0">#REF!</definedName>
    <definedName name="FraisV">#REF!</definedName>
    <definedName name="Full_Print" localSheetId="0">#REF!</definedName>
    <definedName name="Full_Print">#REF!</definedName>
    <definedName name="Full_Print_1" localSheetId="0">#REF!</definedName>
    <definedName name="Full_Print_1">#REF!</definedName>
    <definedName name="g" localSheetId="0">Scheduled_Payment+Extra_Payment</definedName>
    <definedName name="g">Scheduled_Payment+Extra_Payment</definedName>
    <definedName name="Graph14" localSheetId="0">#REF!</definedName>
    <definedName name="Graph14">#REF!</definedName>
    <definedName name="graph3" localSheetId="0">#REF!</definedName>
    <definedName name="graph3">#REF!</definedName>
    <definedName name="Graph4" localSheetId="0">#REF!</definedName>
    <definedName name="Graph4">#REF!</definedName>
    <definedName name="graph5" localSheetId="0">#REF!</definedName>
    <definedName name="graph5">#REF!</definedName>
    <definedName name="graph7" localSheetId="0">#REF!</definedName>
    <definedName name="graph7">#REF!</definedName>
    <definedName name="graph8" localSheetId="0">#REF!</definedName>
    <definedName name="graph8">#REF!</definedName>
    <definedName name="graph9" localSheetId="0">#REF!</definedName>
    <definedName name="graph9">#REF!</definedName>
    <definedName name="h" localSheetId="0">#REF!</definedName>
    <definedName name="h">#REF!</definedName>
    <definedName name="Header_Row">ROW(#REF!)</definedName>
    <definedName name="Header_Row_1">ROW(#REF!)</definedName>
    <definedName name="Ijour" localSheetId="0">#REF!</definedName>
    <definedName name="Ijour">#REF!</definedName>
    <definedName name="Imois" localSheetId="0">#REF!</definedName>
    <definedName name="Imois">#REF!</definedName>
    <definedName name="IMPRESSION" localSheetId="0">#REF!</definedName>
    <definedName name="IMPRESSION">'[1]Données oeufs'!#REF!</definedName>
    <definedName name="_xlnm.Print_Titles" localSheetId="0">'A - États des résultats'!$C:$C</definedName>
    <definedName name="IMPRIME" localSheetId="0">#REF!</definedName>
    <definedName name="IMPRIME">'[1]Données oeufs'!#REF!</definedName>
    <definedName name="Int" localSheetId="0">#REF!</definedName>
    <definedName name="Int">#REF!</definedName>
    <definedName name="Int_1" localSheetId="0">#REF!</definedName>
    <definedName name="Int_1">#REF!</definedName>
    <definedName name="INT1E" localSheetId="0">#REF!</definedName>
    <definedName name="INT1E">#REF!</definedName>
    <definedName name="Interest_Rate" localSheetId="0">#REF!</definedName>
    <definedName name="Interest_Rate">#REF!</definedName>
    <definedName name="Interest_Rate_1" localSheetId="0">#REF!</definedName>
    <definedName name="Interest_Rate_1">#REF!</definedName>
    <definedName name="j" localSheetId="0">Scheduled_Payment+Extra_Payment</definedName>
    <definedName name="j">Scheduled_Payment+Extra_Payment</definedName>
    <definedName name="Jour1" localSheetId="0">#REF!</definedName>
    <definedName name="Jour1">#REF!</definedName>
    <definedName name="Jour2" localSheetId="0">#REF!</definedName>
    <definedName name="Jour2">#REF!</definedName>
    <definedName name="lait" localSheetId="0">DATE(YEAR('A - États des résultats'!Loan_Start),MONTH('A - États des résultats'!Loan_Start)+Payment_Number,DAY('A - États des résultats'!Loan_Start))</definedName>
    <definedName name="lait">DATE(YEAR(Loan_Start),MONTH(Loan_Start)+Payment_Number,DAY(Loan_Start))</definedName>
    <definedName name="lait_1" localSheetId="0">DATE(YEAR('A - États des résultats'!Loan_Start_1),MONTH('A - États des résultats'!Loan_Start_1)+#NAME?,DAY('A - États des résultats'!Loan_Start_1))</definedName>
    <definedName name="lait_1">DATE(YEAR(Loan_Start_1),MONTH(Loan_Start_1)+#NAME?,DAY(Loan_Start_1))</definedName>
    <definedName name="LaPage" localSheetId="0">#REF!</definedName>
    <definedName name="LaPage">[8]stubs_template!$B$1:$N$48</definedName>
    <definedName name="Last_Row" localSheetId="0">IF('A - États des résultats'!Values_Entered,#REF!+'A - États des résultats'!Number_of_Payments,#REF!)</definedName>
    <definedName name="Last_Row">IF(Values_Entered,Header_Row+Number_of_Payments,Header_Row)</definedName>
    <definedName name="Last_Row_1" localSheetId="0">IF('A - États des résultats'!Values_Entered_1,#REF!+'A - États des résultats'!Number_of_Payments_1,#REF!)</definedName>
    <definedName name="Last_Row_1">IF(Values_Entered_1,Header_Row_1+Number_of_Payments_1,Header_Row_1)</definedName>
    <definedName name="LIGNEMAT" localSheetId="0">#REF!</definedName>
    <definedName name="LIGNEMAT">#REF!</definedName>
    <definedName name="Loan_Amount" localSheetId="0">#REF!</definedName>
    <definedName name="Loan_Amount">#REF!</definedName>
    <definedName name="Loan_Amount_1" localSheetId="0">#REF!</definedName>
    <definedName name="Loan_Amount_1">#REF!</definedName>
    <definedName name="Loan_Start" localSheetId="0">#REF!</definedName>
    <definedName name="Loan_Start">#REF!</definedName>
    <definedName name="Loan_Start_1" localSheetId="0">#REF!</definedName>
    <definedName name="Loan_Start_1">#REF!</definedName>
    <definedName name="Loan_Years" localSheetId="0">#REF!</definedName>
    <definedName name="Loan_Years">#REF!</definedName>
    <definedName name="Loan_Years_1" localSheetId="0">#REF!</definedName>
    <definedName name="Loan_Years_1">#REF!</definedName>
    <definedName name="m" localSheetId="0">Scheduled_Payment+Extra_Payment</definedName>
    <definedName name="m">Scheduled_Payment+Extra_Payment</definedName>
    <definedName name="m_1" localSheetId="0">#NAME?+Extra_Payment</definedName>
    <definedName name="m_1">#NAME?+Extra_Payment</definedName>
    <definedName name="MoisD" localSheetId="0">#REF!</definedName>
    <definedName name="MoisD">#REF!</definedName>
    <definedName name="MtEch" localSheetId="0">#REF!</definedName>
    <definedName name="MtEch">#REF!</definedName>
    <definedName name="MtEmprunt" localSheetId="0">#REF!</definedName>
    <definedName name="MtEmprunt">#REF!</definedName>
    <definedName name="n" localSheetId="0">Scheduled_Payment+Extra_Payment</definedName>
    <definedName name="n">Scheduled_Payment+Extra_Payment</definedName>
    <definedName name="n_1" localSheetId="0">#NAME?+Extra_Payment</definedName>
    <definedName name="n_1">#NAME?+Extra_Payment</definedName>
    <definedName name="NAT">#N/A</definedName>
    <definedName name="NbDeci" localSheetId="0">#REF!</definedName>
    <definedName name="NbDeci">#REF!</definedName>
    <definedName name="NbEch" localSheetId="0">#REF!</definedName>
    <definedName name="NbEch">#REF!</definedName>
    <definedName name="NbEchAn" localSheetId="0">#REF!</definedName>
    <definedName name="NbEchAn">#REF!</definedName>
    <definedName name="Nettoyage" localSheetId="0">#REF!</definedName>
    <definedName name="Nettoyage">#REF!</definedName>
    <definedName name="NoEchMaxi" localSheetId="0">#REF!</definedName>
    <definedName name="NoEchMaxi">#REF!</definedName>
    <definedName name="NoEchRemb" localSheetId="0">#REF!</definedName>
    <definedName name="NoEchRemb">#REF!</definedName>
    <definedName name="nom" localSheetId="0">#REF!</definedName>
    <definedName name="nom">#REF!</definedName>
    <definedName name="nom_compagnie" localSheetId="0">#REF!</definedName>
    <definedName name="nom_compagnie">#REF!</definedName>
    <definedName name="Nombre_échéances" localSheetId="0">#REF!</definedName>
    <definedName name="Nombre_échéances">#REF!</definedName>
    <definedName name="Nombre_Iteration" localSheetId="0">#REF!</definedName>
    <definedName name="Nombre_Iteration">#REF!</definedName>
    <definedName name="Num_Pmt_Per_Year" localSheetId="0">#REF!</definedName>
    <definedName name="Num_Pmt_Per_Year">#REF!</definedName>
    <definedName name="Num_Pmt_Per_Year_1" localSheetId="0">#REF!</definedName>
    <definedName name="Num_Pmt_Per_Year_1">#REF!</definedName>
    <definedName name="Number_of_Payments" localSheetId="0">MATCH(0.01,'A - États des résultats'!End_Bal,-1)+1</definedName>
    <definedName name="Number_of_Payments">MATCH(0.01,End_Bal,-1)+1</definedName>
    <definedName name="Number_of_Payments_1" localSheetId="0">MATCH(0.01,'A - États des résultats'!End_Bal_1,-1)+1</definedName>
    <definedName name="Number_of_Payments_1">MATCH(0.01,End_Bal_1,-1)+1</definedName>
    <definedName name="OK">#N/A</definedName>
    <definedName name="P01C" localSheetId="0">#REF!</definedName>
    <definedName name="P01C">#REF!</definedName>
    <definedName name="P01R" localSheetId="0">#REF!</definedName>
    <definedName name="P01R">#REF!</definedName>
    <definedName name="P02C" localSheetId="0">#REF!</definedName>
    <definedName name="P02C">#REF!</definedName>
    <definedName name="P02R" localSheetId="0">#REF!</definedName>
    <definedName name="P02R">#REF!</definedName>
    <definedName name="P04C" localSheetId="0">#REF!</definedName>
    <definedName name="P04C">#REF!</definedName>
    <definedName name="P04R" localSheetId="0">#REF!</definedName>
    <definedName name="P04R">#REF!</definedName>
    <definedName name="P05C" localSheetId="0">#REF!</definedName>
    <definedName name="P05C">#REF!</definedName>
    <definedName name="P05R" localSheetId="0">#REF!</definedName>
    <definedName name="P05R">#REF!</definedName>
    <definedName name="P06C" localSheetId="0">#REF!</definedName>
    <definedName name="P06C">#REF!</definedName>
    <definedName name="P06R" localSheetId="0">#REF!</definedName>
    <definedName name="P06R">#REF!</definedName>
    <definedName name="PAY" localSheetId="0">DATE(YEAR('A - États des résultats'!Loan_Start),MONTH('A - États des résultats'!Loan_Start)+Payment_Number,DAY('A - États des résultats'!Loan_Start))</definedName>
    <definedName name="PAY">DATE(YEAR(Loan_Start),MONTH(Loan_Start)+Payment_Number,DAY(Loan_Start))</definedName>
    <definedName name="PAY_1" localSheetId="0">DATE(YEAR('A - États des résultats'!Loan_Start_1),MONTH('A - États des résultats'!Loan_Start_1)+#NAME?,DAY('A - États des résultats'!Loan_Start_1))</definedName>
    <definedName name="PAY_1">DATE(YEAR(Loan_Start_1),MONTH(Loan_Start_1)+#NAME?,DAY(Loan_Start_1))</definedName>
    <definedName name="Pay_Date" localSheetId="0">#REF!</definedName>
    <definedName name="Pay_Date">#REF!</definedName>
    <definedName name="Pay_Date_1" localSheetId="0">#REF!</definedName>
    <definedName name="Pay_Date_1">#REF!</definedName>
    <definedName name="Pay_Num" localSheetId="0">#REF!</definedName>
    <definedName name="Pay_Num">#REF!</definedName>
    <definedName name="Pay_Num_1" localSheetId="0">#REF!</definedName>
    <definedName name="Pay_Num_1">#REF!</definedName>
    <definedName name="Payment_Date" localSheetId="0">DATE(YEAR('A - États des résultats'!Loan_Start),MONTH('A - États des résultats'!Loan_Start)+Payment_Number,DAY('A - États des résultats'!Loan_Start))</definedName>
    <definedName name="Payment_Date">DATE(YEAR(Loan_Start),MONTH(Loan_Start)+Payment_Number,DAY(Loan_Start))</definedName>
    <definedName name="Payment_Date_1" localSheetId="0">DATE(YEAR('A - États des résultats'!Loan_Start_1),MONTH('A - États des résultats'!Loan_Start_1)+#NAME?,DAY('A - États des résultats'!Loan_Start_1))</definedName>
    <definedName name="Payment_Date_1">DATE(YEAR(Loan_Start_1),MONTH(Loan_Start_1)+#NAME?,DAY(Loan_Start_1))</definedName>
    <definedName name="Periodicite" localSheetId="0">#REF!</definedName>
    <definedName name="Periodicite">#REF!</definedName>
    <definedName name="Porcs" localSheetId="0">#REF!</definedName>
    <definedName name="Porcs">[9]Porc!$M$8:$W$15</definedName>
    <definedName name="Porcs_1" localSheetId="0">#REF!</definedName>
    <definedName name="Porcs_1">[10]Porc!$M$8:$W$15</definedName>
    <definedName name="prenom" localSheetId="0">#REF!</definedName>
    <definedName name="prenom">#REF!</definedName>
    <definedName name="Princ" localSheetId="0">#REF!</definedName>
    <definedName name="Princ">#REF!</definedName>
    <definedName name="Princ_1" localSheetId="0">#REF!</definedName>
    <definedName name="Princ_1">#REF!</definedName>
    <definedName name="PRINCIPAL" localSheetId="0">#REF!</definedName>
    <definedName name="PRINCIPAL">'[1]Données oeufs'!#REF!</definedName>
    <definedName name="Print_Area_Reset" localSheetId="0">OFFSET('A - États des résultats'!Full_Print,0,0,'A - États des résultats'!Last_Row)</definedName>
    <definedName name="Print_Area_Reset">OFFSET(Full_Print,0,0,Last_Row)</definedName>
    <definedName name="Print_Area_Reset_1" localSheetId="0">OFFSET('A - États des résultats'!Full_Print_1,0,0,'A - États des résultats'!Last_Row_1)</definedName>
    <definedName name="Print_Area_Reset_1">OFFSET(Full_Print_1,0,0,Last_Row_1)</definedName>
    <definedName name="QUITTER" localSheetId="0">#REF!</definedName>
    <definedName name="QUITTER">'[1]Données oeufs'!#REF!</definedName>
    <definedName name="RECUPERATION" localSheetId="0">#REF!</definedName>
    <definedName name="RECUPERATION">'[1]Données oeufs'!#REF!</definedName>
    <definedName name="Resize" localSheetId="0">#REF!</definedName>
    <definedName name="Resize">'[11]Analyse _de_sensibilite_VBA'!$E$84</definedName>
    <definedName name="revr" localSheetId="0">IF('A - États des résultats'!Values_Entered,#REF!+'A - États des résultats'!Number_of_Payments,#REF!)</definedName>
    <definedName name="revr">IF(Values_Entered,Header_Row+Number_of_Payments,Header_Row)</definedName>
    <definedName name="revr_1" localSheetId="0">IF('A - États des résultats'!Values_Entered_1,#REF!+'A - États des résultats'!Number_of_Payments_1,#REF!)</definedName>
    <definedName name="revr_1">IF(Values_Entered_1,Header_Row_1+Number_of_Payments_1,Header_Row_1)</definedName>
    <definedName name="RVDebit" localSheetId="0">#REF!</definedName>
    <definedName name="RVDebit">#REF!</definedName>
    <definedName name="SAUVEGARDE" localSheetId="0">#REF!</definedName>
    <definedName name="SAUVEGARDE">'[1]Données oeufs'!#REF!</definedName>
    <definedName name="sc" localSheetId="0">Scheduled_Payment+Extra_Payment</definedName>
    <definedName name="sc">Scheduled_Payment+Extra_Payment</definedName>
    <definedName name="sc_1" localSheetId="0">#NAME?+Extra_Payment</definedName>
    <definedName name="sc_1">#NAME?+Extra_Payment</definedName>
    <definedName name="Sched_Pay" localSheetId="0">#REF!</definedName>
    <definedName name="Sched_Pay">#REF!</definedName>
    <definedName name="Sched_Pay_1" localSheetId="0">#REF!</definedName>
    <definedName name="Sched_Pay_1">#REF!</definedName>
    <definedName name="Scheduled_Extra_Payments" localSheetId="0">#REF!</definedName>
    <definedName name="Scheduled_Extra_Payments">#REF!</definedName>
    <definedName name="Scheduled_Extra_Payments_1" localSheetId="0">#REF!</definedName>
    <definedName name="Scheduled_Extra_Payments_1">#REF!</definedName>
    <definedName name="Scheduled_Interest_Rate" localSheetId="0">#REF!</definedName>
    <definedName name="Scheduled_Interest_Rate">#REF!</definedName>
    <definedName name="Scheduled_Interest_Rate_1" localSheetId="0">#REF!</definedName>
    <definedName name="Scheduled_Interest_Rate_1">#REF!</definedName>
    <definedName name="Scheduled_Monthly_Payment" localSheetId="0">#REF!</definedName>
    <definedName name="Scheduled_Monthly_Payment">#REF!</definedName>
    <definedName name="Scheduled_Monthly_Payment_1" localSheetId="0">#REF!</definedName>
    <definedName name="Scheduled_Monthly_Payment_1">#REF!</definedName>
    <definedName name="sept.09">#N/A</definedName>
    <definedName name="Simulation_depart" localSheetId="0">#REF!</definedName>
    <definedName name="Simulation_depart">#REF!</definedName>
    <definedName name="stat" localSheetId="0">Scheduled_Payment+Extra_Payment</definedName>
    <definedName name="stat">Scheduled_Payment+Extra_Payment</definedName>
    <definedName name="StrucFiche" localSheetId="0">#REF!</definedName>
    <definedName name="StrucFiche">[8]stubs_template!$B$37:$N$48</definedName>
    <definedName name="SUITE" localSheetId="0">#REF!</definedName>
    <definedName name="SUITE">'[1]Données oeufs'!#REF!</definedName>
    <definedName name="Surplus_Deficit" localSheetId="0">#REF!</definedName>
    <definedName name="Surplus_Deficit">#REF!</definedName>
    <definedName name="tab_p" localSheetId="0">#REF!</definedName>
    <definedName name="tab_p">[9]Poule!$M$9:$N$16</definedName>
    <definedName name="tab_p_1" localSheetId="0">#REF!</definedName>
    <definedName name="tab_p_1">[10]Poule!$M$9:$N$16</definedName>
    <definedName name="tab_venzi" localSheetId="0">#REF!</definedName>
    <definedName name="tab_venzi">[10]Ventilateurs!$B$3:$J$13</definedName>
    <definedName name="tabnat" localSheetId="0">#REF!</definedName>
    <definedName name="tabnat">[9]V_naturelle!$P$7:$T$23</definedName>
    <definedName name="tabnat_1" localSheetId="0">#REF!</definedName>
    <definedName name="tabnat_1">[10]V_naturelle!$P$7:$T$23</definedName>
    <definedName name="tabrég" localSheetId="0">#REF!</definedName>
    <definedName name="tabrég">[9]V_naturelle!$N$12:$O$15</definedName>
    <definedName name="tabrég_1" localSheetId="0">#REF!</definedName>
    <definedName name="tabrég_1">[10]V_naturelle!$N$12:$O$15</definedName>
    <definedName name="TauxActuariel" localSheetId="0">#REF!</definedName>
    <definedName name="TauxActuariel">#REF!</definedName>
    <definedName name="test" localSheetId="0">#REF!</definedName>
    <definedName name="test">#REF!</definedName>
    <definedName name="test1" localSheetId="0">Scheduled_Payment+Extra_Payment</definedName>
    <definedName name="test1">Scheduled_Payment+Extra_Payment</definedName>
    <definedName name="texte_1" localSheetId="0">#REF!</definedName>
    <definedName name="texte_1">#REF!</definedName>
    <definedName name="texte_2" localSheetId="0">#REF!</definedName>
    <definedName name="texte_2">#REF!</definedName>
    <definedName name="texte_3" localSheetId="0">#REF!</definedName>
    <definedName name="texte_3">#REF!</definedName>
    <definedName name="titre_projet" localSheetId="0">#REF!</definedName>
    <definedName name="titre_projet">#REF!</definedName>
    <definedName name="TMDebut" localSheetId="0">#REF!</definedName>
    <definedName name="TMDebut">#REF!</definedName>
    <definedName name="TMDebut_1" localSheetId="0">#REF!</definedName>
    <definedName name="TMDebut_1">#REF!</definedName>
    <definedName name="TMTitreAn" localSheetId="0">#REF!</definedName>
    <definedName name="TMTitreAn">#REF!</definedName>
    <definedName name="TMTitreAn_1" localSheetId="0">#REF!</definedName>
    <definedName name="TMTitreAn_1">#REF!</definedName>
    <definedName name="TMTitreFR" localSheetId="0">#REF!</definedName>
    <definedName name="TMTitreFR">#REF!</definedName>
    <definedName name="TMTitreFR_1" localSheetId="0">#REF!</definedName>
    <definedName name="TMTitreFR_1">#REF!</definedName>
    <definedName name="total" localSheetId="0">Scheduled_Payment+Extra_Payment</definedName>
    <definedName name="total">Scheduled_Payment+Extra_Payment</definedName>
    <definedName name="total_1" localSheetId="0">Scheduled_Payment+Extra_Payment</definedName>
    <definedName name="total_1">Scheduled_Payment+Extra_Payment</definedName>
    <definedName name="Total_Capital" localSheetId="0">#REF!</definedName>
    <definedName name="Total_Capital">#REF!</definedName>
    <definedName name="Total_Frais" localSheetId="0">#REF!</definedName>
    <definedName name="Total_Frais">#REF!</definedName>
    <definedName name="Total_Interest" localSheetId="0">#REF!</definedName>
    <definedName name="Total_Interest">#REF!</definedName>
    <definedName name="Total_Interest_1" localSheetId="0">#REF!</definedName>
    <definedName name="Total_Interest_1">#REF!</definedName>
    <definedName name="Total_Intérêts" localSheetId="0">#REF!</definedName>
    <definedName name="Total_Intérêts">#REF!</definedName>
    <definedName name="Total_Pay" localSheetId="0">#REF!</definedName>
    <definedName name="Total_Pay">#REF!</definedName>
    <definedName name="Total_Pay_1" localSheetId="0">#REF!</definedName>
    <definedName name="Total_Pay_1">#REF!</definedName>
    <definedName name="Total_Payment" localSheetId="0">Scheduled_Payment+Extra_Payment</definedName>
    <definedName name="Total_Payment">Scheduled_Payment+Extra_Payment</definedName>
    <definedName name="Total_Payment_1" localSheetId="0">Scheduled_Payment+Extra_Payment</definedName>
    <definedName name="Total_Payment_1">Scheduled_Payment+Extra_Payment</definedName>
    <definedName name="TVDebit" localSheetId="0">#REF!</definedName>
    <definedName name="TVDebit">#REF!</definedName>
    <definedName name="TxPer" localSheetId="0">#REF!</definedName>
    <definedName name="TxPer">#REF!</definedName>
    <definedName name="type" localSheetId="0">#REF!</definedName>
    <definedName name="type">[9]V_naturelle!$N$7:$O$10</definedName>
    <definedName name="type_1" localSheetId="0">#REF!</definedName>
    <definedName name="type_1">[10]V_naturelle!$N$7:$O$10</definedName>
    <definedName name="Values_Entered" localSheetId="0">IF('A - États des résultats'!Loan_Amount*'A - États des résultats'!Interest_Rate*'A - États des résultats'!Loan_Years*'A - États des résultats'!Loan_Start&gt;0,1,0)</definedName>
    <definedName name="Values_Entered">IF(Loan_Amount*Interest_Rate*Loan_Years*Loan_Start&gt;0,1,0)</definedName>
    <definedName name="Values_Entered_1" localSheetId="0">IF('A - États des résultats'!Loan_Amount_1*'A - États des résultats'!Interest_Rate_1*'A - États des résultats'!Loan_Years_1*'A - États des résultats'!Loan_Start_1&gt;0,1,0)</definedName>
    <definedName name="Values_Entered_1">IF(Loan_Amount_1*Interest_Rate_1*Loan_Years_1*Loan_Start_1&gt;0,1,0)</definedName>
    <definedName name="vent_tun" localSheetId="0">#REF!</definedName>
    <definedName name="vent_tun">[9]Ventilateurs!$B$14:$B$17</definedName>
    <definedName name="vent_tun_1" localSheetId="0">#REF!</definedName>
    <definedName name="vent_tun_1">[10]Ventilateurs!$B$14:$B$17</definedName>
    <definedName name="vent2" localSheetId="0">#REF!</definedName>
    <definedName name="vent2">[9]Ventilateurs!$B$2:$J$17</definedName>
    <definedName name="vent2_1" localSheetId="0">#REF!</definedName>
    <definedName name="vent2_1">[10]Ventilateurs!$B$2:$J$17</definedName>
    <definedName name="vent5" localSheetId="0">#REF!</definedName>
    <definedName name="vent5">[9]Ventilateurs!$B$14:$J$17</definedName>
    <definedName name="vent5_1" localSheetId="0">#REF!</definedName>
    <definedName name="vent5_1">[10]Ventilateurs!$B$14:$J$17</definedName>
    <definedName name="venti" localSheetId="0">#REF!</definedName>
    <definedName name="venti">[9]Ventilateurs!$B$2:$B$17</definedName>
    <definedName name="venti_1" localSheetId="0">#REF!</definedName>
    <definedName name="venti_1">[10]Ventilateurs!$B$2:$B$17</definedName>
    <definedName name="venzi" localSheetId="0">#REF!</definedName>
    <definedName name="venzi">[10]Ventilateurs!$B$3:$B$13</definedName>
    <definedName name="xxx">#N/A</definedName>
    <definedName name="zcoche" localSheetId="0">#REF!,#REF!</definedName>
    <definedName name="zcoche">#REF!,#REF!</definedName>
    <definedName name="zcoche2" localSheetId="0">#REF!,#REF!</definedName>
    <definedName name="zcoche2">#REF!,#REF!</definedName>
    <definedName name="_xlnm.Print_Area">#REF!</definedName>
    <definedName name="Zone_impres_MI" localSheetId="0">#REF!</definedName>
    <definedName name="Zone_impres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1" l="1"/>
  <c r="AG14" i="1" s="1"/>
  <c r="AG16" i="1"/>
  <c r="AG32" i="1"/>
  <c r="AG33" i="1"/>
  <c r="AG34" i="1"/>
  <c r="AG35" i="1"/>
  <c r="AG36" i="1"/>
  <c r="AG37" i="1"/>
  <c r="AG38" i="1"/>
  <c r="AG39" i="1"/>
  <c r="AG40" i="1"/>
  <c r="AG45" i="1"/>
  <c r="AG46" i="1"/>
  <c r="AI46" i="1" s="1"/>
  <c r="AG23" i="1"/>
  <c r="AG24" i="1"/>
  <c r="AG25" i="1"/>
  <c r="AG26" i="1"/>
  <c r="AG27" i="1"/>
  <c r="AG55" i="1"/>
  <c r="AG56" i="1"/>
  <c r="AG66" i="1"/>
  <c r="AG67" i="1"/>
  <c r="AG68" i="1"/>
  <c r="AG69" i="1"/>
  <c r="AG70" i="1"/>
  <c r="AI70" i="1" s="1"/>
  <c r="AG76" i="1"/>
  <c r="AG78" i="1" s="1"/>
  <c r="AH42" i="1"/>
  <c r="AH47" i="1"/>
  <c r="AH29" i="1"/>
  <c r="AH58" i="1"/>
  <c r="AH72" i="1"/>
  <c r="AH78" i="1"/>
  <c r="AA8" i="1"/>
  <c r="Y14" i="1" s="1"/>
  <c r="Y15" i="1"/>
  <c r="Y16" i="1"/>
  <c r="Y32" i="1"/>
  <c r="Y33" i="1"/>
  <c r="Y34" i="1"/>
  <c r="Y35" i="1"/>
  <c r="Y36" i="1"/>
  <c r="Y37" i="1"/>
  <c r="Y38" i="1"/>
  <c r="Y39" i="1"/>
  <c r="Y40" i="1"/>
  <c r="Y45" i="1"/>
  <c r="Y46" i="1"/>
  <c r="Y23" i="1"/>
  <c r="Y24" i="1"/>
  <c r="Y25" i="1"/>
  <c r="Y26" i="1"/>
  <c r="Y27" i="1"/>
  <c r="Y55" i="1"/>
  <c r="Y56" i="1"/>
  <c r="Y66" i="1"/>
  <c r="Y67" i="1"/>
  <c r="Y68" i="1"/>
  <c r="Y69" i="1"/>
  <c r="Y70" i="1"/>
  <c r="Y76" i="1"/>
  <c r="Y78" i="1" s="1"/>
  <c r="Z42" i="1"/>
  <c r="Z47" i="1"/>
  <c r="Z29" i="1"/>
  <c r="Z58" i="1"/>
  <c r="Z72" i="1"/>
  <c r="Z78" i="1"/>
  <c r="R15" i="1"/>
  <c r="S15" i="1" s="1"/>
  <c r="R16" i="1"/>
  <c r="R32" i="1"/>
  <c r="S32" i="1" s="1"/>
  <c r="R35" i="1"/>
  <c r="S35" i="1" s="1"/>
  <c r="R38" i="1"/>
  <c r="S38" i="1" s="1"/>
  <c r="R39" i="1"/>
  <c r="S39" i="1" s="1"/>
  <c r="R47" i="1"/>
  <c r="R23" i="1"/>
  <c r="S23" i="1" s="1"/>
  <c r="R26" i="1"/>
  <c r="R58" i="1"/>
  <c r="R70" i="1"/>
  <c r="R72" i="1" s="1"/>
  <c r="R76" i="1"/>
  <c r="S14" i="1"/>
  <c r="S16" i="1"/>
  <c r="S33" i="1"/>
  <c r="S34" i="1"/>
  <c r="S36" i="1"/>
  <c r="S37" i="1"/>
  <c r="S40" i="1"/>
  <c r="S45" i="1"/>
  <c r="S46" i="1"/>
  <c r="S24" i="1"/>
  <c r="S25" i="1"/>
  <c r="S27" i="1"/>
  <c r="S55" i="1"/>
  <c r="S56" i="1"/>
  <c r="N8" i="1"/>
  <c r="L15" i="1"/>
  <c r="L16" i="1"/>
  <c r="M32" i="1"/>
  <c r="L32" i="1" s="1"/>
  <c r="L33" i="1"/>
  <c r="L34" i="1"/>
  <c r="M35" i="1"/>
  <c r="L35" i="1" s="1"/>
  <c r="M36" i="1"/>
  <c r="M37" i="1"/>
  <c r="L37" i="1" s="1"/>
  <c r="M38" i="1"/>
  <c r="L38" i="1" s="1"/>
  <c r="M39" i="1"/>
  <c r="L39" i="1" s="1"/>
  <c r="L40" i="1"/>
  <c r="L45" i="1"/>
  <c r="N45" i="1" s="1"/>
  <c r="L46" i="1"/>
  <c r="L23" i="1"/>
  <c r="M24" i="1"/>
  <c r="L24" i="1" s="1"/>
  <c r="L25" i="1"/>
  <c r="L26" i="1"/>
  <c r="L27" i="1"/>
  <c r="M55" i="1"/>
  <c r="L55" i="1" s="1"/>
  <c r="M56" i="1"/>
  <c r="M66" i="1"/>
  <c r="L66" i="1" s="1"/>
  <c r="L67" i="1"/>
  <c r="L68" i="1"/>
  <c r="L69" i="1"/>
  <c r="L70" i="1"/>
  <c r="L76" i="1"/>
  <c r="L78" i="1" s="1"/>
  <c r="M47" i="1"/>
  <c r="M78" i="1"/>
  <c r="H8" i="1"/>
  <c r="G16" i="1" s="1"/>
  <c r="I16" i="1" s="1"/>
  <c r="H14" i="1"/>
  <c r="G23" i="1"/>
  <c r="I23" i="1" s="1"/>
  <c r="G24" i="1"/>
  <c r="I24" i="1" s="1"/>
  <c r="G26" i="1"/>
  <c r="I26" i="1" s="1"/>
  <c r="G35" i="1"/>
  <c r="I35" i="1" s="1"/>
  <c r="G37" i="1"/>
  <c r="G38" i="1"/>
  <c r="I38" i="1" s="1"/>
  <c r="G58" i="1"/>
  <c r="G70" i="1"/>
  <c r="G78" i="1"/>
  <c r="I14" i="1"/>
  <c r="I32" i="1"/>
  <c r="I33" i="1"/>
  <c r="I34" i="1"/>
  <c r="I36" i="1"/>
  <c r="I39" i="1"/>
  <c r="I40" i="1"/>
  <c r="I25" i="1"/>
  <c r="I27" i="1"/>
  <c r="I55" i="1"/>
  <c r="I56" i="1"/>
  <c r="I66" i="1"/>
  <c r="I67" i="1"/>
  <c r="I68" i="1"/>
  <c r="I69" i="1"/>
  <c r="I76" i="1"/>
  <c r="I78" i="1" s="1"/>
  <c r="H47" i="1"/>
  <c r="AG58" i="1" l="1"/>
  <c r="AA36" i="1"/>
  <c r="AI16" i="1"/>
  <c r="AI69" i="1"/>
  <c r="N70" i="1"/>
  <c r="L47" i="1"/>
  <c r="AI24" i="1"/>
  <c r="AI32" i="1"/>
  <c r="AG29" i="1"/>
  <c r="I58" i="1"/>
  <c r="N46" i="1"/>
  <c r="N47" i="1" s="1"/>
  <c r="AI39" i="1"/>
  <c r="N38" i="1"/>
  <c r="AI67" i="1"/>
  <c r="AI45" i="1"/>
  <c r="AI47" i="1" s="1"/>
  <c r="AI66" i="1"/>
  <c r="AI40" i="1"/>
  <c r="AI56" i="1"/>
  <c r="AI38" i="1"/>
  <c r="AI23" i="1"/>
  <c r="AI55" i="1"/>
  <c r="AI37" i="1"/>
  <c r="G8" i="1"/>
  <c r="AI33" i="1"/>
  <c r="AI27" i="1"/>
  <c r="AI26" i="1"/>
  <c r="AI34" i="1"/>
  <c r="AI36" i="1"/>
  <c r="H70" i="1"/>
  <c r="N67" i="1"/>
  <c r="H76" i="1"/>
  <c r="H78" i="1" s="1"/>
  <c r="H69" i="1"/>
  <c r="N23" i="1"/>
  <c r="H68" i="1"/>
  <c r="H66" i="1"/>
  <c r="N26" i="1"/>
  <c r="N35" i="1"/>
  <c r="AA38" i="1"/>
  <c r="N34" i="1"/>
  <c r="AA37" i="1"/>
  <c r="H32" i="1"/>
  <c r="N33" i="1"/>
  <c r="S47" i="1"/>
  <c r="N76" i="1"/>
  <c r="N78" i="1" s="1"/>
  <c r="R29" i="1"/>
  <c r="Y47" i="1"/>
  <c r="L29" i="1"/>
  <c r="R18" i="1"/>
  <c r="T72" i="1" s="1"/>
  <c r="N16" i="1"/>
  <c r="H40" i="1"/>
  <c r="Y58" i="1"/>
  <c r="H39" i="1"/>
  <c r="N40" i="1"/>
  <c r="L14" i="1"/>
  <c r="M14" i="1" s="1"/>
  <c r="M18" i="1" s="1"/>
  <c r="H36" i="1"/>
  <c r="S58" i="1"/>
  <c r="M58" i="1"/>
  <c r="S70" i="1"/>
  <c r="S72" i="1" s="1"/>
  <c r="Y29" i="1"/>
  <c r="AA33" i="1"/>
  <c r="AG72" i="1"/>
  <c r="H26" i="1"/>
  <c r="N24" i="1"/>
  <c r="AH49" i="1"/>
  <c r="AH60" i="1" s="1"/>
  <c r="I29" i="1"/>
  <c r="Z49" i="1"/>
  <c r="Z60" i="1" s="1"/>
  <c r="S26" i="1"/>
  <c r="S29" i="1" s="1"/>
  <c r="H23" i="1"/>
  <c r="L56" i="1"/>
  <c r="L58" i="1" s="1"/>
  <c r="S42" i="1"/>
  <c r="AI68" i="1"/>
  <c r="H33" i="1"/>
  <c r="M29" i="1"/>
  <c r="N32" i="1"/>
  <c r="AG47" i="1"/>
  <c r="N37" i="1"/>
  <c r="AA15" i="1"/>
  <c r="AA23" i="1"/>
  <c r="AA70" i="1"/>
  <c r="AA16" i="1"/>
  <c r="AA24" i="1"/>
  <c r="AA34" i="1"/>
  <c r="AA35" i="1"/>
  <c r="AA32" i="1"/>
  <c r="I37" i="1"/>
  <c r="I42" i="1" s="1"/>
  <c r="G42" i="1"/>
  <c r="AA46" i="1"/>
  <c r="N39" i="1"/>
  <c r="AA39" i="1"/>
  <c r="R42" i="1"/>
  <c r="AA76" i="1"/>
  <c r="AA78" i="1" s="1"/>
  <c r="AA68" i="1"/>
  <c r="S76" i="1"/>
  <c r="S78" i="1" s="1"/>
  <c r="Y18" i="1"/>
  <c r="AB46" i="1" s="1"/>
  <c r="Z14" i="1"/>
  <c r="Z18" i="1" s="1"/>
  <c r="AA45" i="1"/>
  <c r="AA40" i="1"/>
  <c r="AA56" i="1"/>
  <c r="Y42" i="1"/>
  <c r="N69" i="1"/>
  <c r="M42" i="1"/>
  <c r="L36" i="1"/>
  <c r="AA55" i="1"/>
  <c r="AI35" i="1"/>
  <c r="N15" i="1"/>
  <c r="N27" i="1"/>
  <c r="N55" i="1"/>
  <c r="N66" i="1"/>
  <c r="AA27" i="1"/>
  <c r="H37" i="1"/>
  <c r="AA26" i="1"/>
  <c r="AG42" i="1"/>
  <c r="S18" i="1"/>
  <c r="AA25" i="1"/>
  <c r="AA69" i="1"/>
  <c r="AA67" i="1"/>
  <c r="I70" i="1"/>
  <c r="I72" i="1" s="1"/>
  <c r="G72" i="1"/>
  <c r="H35" i="1"/>
  <c r="H25" i="1"/>
  <c r="G45" i="1"/>
  <c r="H55" i="1"/>
  <c r="G46" i="1"/>
  <c r="H56" i="1"/>
  <c r="H27" i="1"/>
  <c r="H34" i="1"/>
  <c r="H67" i="1"/>
  <c r="H38" i="1"/>
  <c r="N25" i="1"/>
  <c r="L72" i="1"/>
  <c r="R78" i="1"/>
  <c r="AH14" i="1"/>
  <c r="AI76" i="1"/>
  <c r="AI78" i="1" s="1"/>
  <c r="AI25" i="1"/>
  <c r="M72" i="1"/>
  <c r="N68" i="1"/>
  <c r="G29" i="1"/>
  <c r="H24" i="1"/>
  <c r="AA66" i="1"/>
  <c r="Y72" i="1"/>
  <c r="AB72" i="1" l="1"/>
  <c r="T76" i="1"/>
  <c r="AB45" i="1"/>
  <c r="T47" i="1"/>
  <c r="T55" i="1"/>
  <c r="T66" i="1"/>
  <c r="T40" i="1"/>
  <c r="T15" i="1"/>
  <c r="AI58" i="1"/>
  <c r="T32" i="1"/>
  <c r="T78" i="1"/>
  <c r="T23" i="1"/>
  <c r="T33" i="1"/>
  <c r="T29" i="1"/>
  <c r="AA47" i="1"/>
  <c r="T34" i="1"/>
  <c r="AI72" i="1"/>
  <c r="T56" i="1"/>
  <c r="T36" i="1"/>
  <c r="T26" i="1"/>
  <c r="AI42" i="1"/>
  <c r="T16" i="1"/>
  <c r="AB14" i="1"/>
  <c r="AI29" i="1"/>
  <c r="AB29" i="1"/>
  <c r="T38" i="1"/>
  <c r="T58" i="1"/>
  <c r="T14" i="1"/>
  <c r="T46" i="1"/>
  <c r="N56" i="1"/>
  <c r="N58" i="1" s="1"/>
  <c r="T45" i="1"/>
  <c r="T39" i="1"/>
  <c r="T68" i="1"/>
  <c r="T25" i="1"/>
  <c r="T67" i="1"/>
  <c r="T37" i="1"/>
  <c r="T18" i="1"/>
  <c r="H72" i="1"/>
  <c r="T35" i="1"/>
  <c r="N18" i="1"/>
  <c r="AB58" i="1"/>
  <c r="N29" i="1"/>
  <c r="T69" i="1"/>
  <c r="T27" i="1"/>
  <c r="T70" i="1"/>
  <c r="T24" i="1"/>
  <c r="L18" i="1"/>
  <c r="O39" i="1" s="1"/>
  <c r="AB33" i="1"/>
  <c r="AB55" i="1"/>
  <c r="AB35" i="1"/>
  <c r="AB39" i="1"/>
  <c r="M49" i="1"/>
  <c r="N72" i="1"/>
  <c r="AA72" i="1"/>
  <c r="S49" i="1"/>
  <c r="S60" i="1" s="1"/>
  <c r="H42" i="1"/>
  <c r="Z52" i="1"/>
  <c r="Z62" i="1" s="1"/>
  <c r="Z80" i="1" s="1"/>
  <c r="AA58" i="1"/>
  <c r="H58" i="1"/>
  <c r="AB66" i="1"/>
  <c r="I46" i="1"/>
  <c r="H29" i="1"/>
  <c r="H15" i="1" s="1"/>
  <c r="AB25" i="1"/>
  <c r="AB24" i="1"/>
  <c r="AB40" i="1"/>
  <c r="AB23" i="1"/>
  <c r="AB76" i="1"/>
  <c r="AB15" i="1"/>
  <c r="AB36" i="1"/>
  <c r="AB26" i="1"/>
  <c r="AB38" i="1"/>
  <c r="AB68" i="1"/>
  <c r="AB32" i="1"/>
  <c r="AB18" i="1"/>
  <c r="AB70" i="1"/>
  <c r="AB16" i="1"/>
  <c r="AB34" i="1"/>
  <c r="AB56" i="1"/>
  <c r="AB78" i="1"/>
  <c r="AA29" i="1"/>
  <c r="AA18" i="1"/>
  <c r="R49" i="1"/>
  <c r="T42" i="1"/>
  <c r="AH15" i="1"/>
  <c r="AG15" i="1" s="1"/>
  <c r="AB67" i="1"/>
  <c r="Y49" i="1"/>
  <c r="AB42" i="1"/>
  <c r="G47" i="1"/>
  <c r="I45" i="1"/>
  <c r="AB27" i="1"/>
  <c r="N36" i="1"/>
  <c r="N42" i="1" s="1"/>
  <c r="L42" i="1"/>
  <c r="AB47" i="1"/>
  <c r="AB69" i="1"/>
  <c r="AG49" i="1"/>
  <c r="AB37" i="1"/>
  <c r="AA42" i="1"/>
  <c r="O47" i="1" l="1"/>
  <c r="AI49" i="1"/>
  <c r="AI60" i="1" s="1"/>
  <c r="O36" i="1"/>
  <c r="N49" i="1"/>
  <c r="N52" i="1" s="1"/>
  <c r="N62" i="1" s="1"/>
  <c r="N80" i="1" s="1"/>
  <c r="O69" i="1"/>
  <c r="O40" i="1"/>
  <c r="O72" i="1"/>
  <c r="O23" i="1"/>
  <c r="S52" i="1"/>
  <c r="S62" i="1" s="1"/>
  <c r="S80" i="1" s="1"/>
  <c r="O15" i="1"/>
  <c r="O35" i="1"/>
  <c r="O76" i="1"/>
  <c r="O24" i="1"/>
  <c r="O14" i="1"/>
  <c r="O70" i="1"/>
  <c r="O37" i="1"/>
  <c r="O46" i="1"/>
  <c r="O33" i="1"/>
  <c r="O29" i="1"/>
  <c r="O67" i="1"/>
  <c r="O18" i="1"/>
  <c r="O55" i="1"/>
  <c r="O25" i="1"/>
  <c r="O32" i="1"/>
  <c r="O27" i="1"/>
  <c r="O38" i="1"/>
  <c r="O34" i="1"/>
  <c r="O68" i="1"/>
  <c r="O66" i="1"/>
  <c r="O45" i="1"/>
  <c r="O16" i="1"/>
  <c r="O56" i="1"/>
  <c r="O26" i="1"/>
  <c r="O78" i="1"/>
  <c r="O58" i="1"/>
  <c r="I47" i="1"/>
  <c r="I49" i="1" s="1"/>
  <c r="I60" i="1" s="1"/>
  <c r="AA49" i="1"/>
  <c r="AA60" i="1" s="1"/>
  <c r="AH18" i="1"/>
  <c r="AH52" i="1" s="1"/>
  <c r="AH62" i="1" s="1"/>
  <c r="AH80" i="1" s="1"/>
  <c r="M60" i="1"/>
  <c r="M52" i="1"/>
  <c r="M62" i="1" s="1"/>
  <c r="M80" i="1" s="1"/>
  <c r="O42" i="1"/>
  <c r="L49" i="1"/>
  <c r="G15" i="1"/>
  <c r="H18" i="1"/>
  <c r="Y60" i="1"/>
  <c r="AB60" i="1" s="1"/>
  <c r="AB49" i="1"/>
  <c r="H49" i="1"/>
  <c r="H60" i="1" s="1"/>
  <c r="AI15" i="1"/>
  <c r="AI18" i="1" s="1"/>
  <c r="AI52" i="1" s="1"/>
  <c r="AI62" i="1" s="1"/>
  <c r="AI80" i="1" s="1"/>
  <c r="AG18" i="1"/>
  <c r="AJ15" i="1" s="1"/>
  <c r="AG60" i="1"/>
  <c r="G49" i="1"/>
  <c r="T49" i="1"/>
  <c r="R60" i="1"/>
  <c r="T60" i="1" s="1"/>
  <c r="R52" i="1"/>
  <c r="Y52" i="1"/>
  <c r="N60" i="1" l="1"/>
  <c r="AA52" i="1"/>
  <c r="AA62" i="1" s="1"/>
  <c r="AA80" i="1" s="1"/>
  <c r="AJ49" i="1"/>
  <c r="AJ60" i="1"/>
  <c r="H52" i="1"/>
  <c r="H62" i="1" s="1"/>
  <c r="H80" i="1" s="1"/>
  <c r="AB52" i="1"/>
  <c r="Y62" i="1"/>
  <c r="I15" i="1"/>
  <c r="I18" i="1" s="1"/>
  <c r="I52" i="1" s="1"/>
  <c r="I62" i="1" s="1"/>
  <c r="I80" i="1" s="1"/>
  <c r="G18" i="1"/>
  <c r="J15" i="1" s="1"/>
  <c r="L60" i="1"/>
  <c r="O60" i="1" s="1"/>
  <c r="O49" i="1"/>
  <c r="L52" i="1"/>
  <c r="AJ45" i="1"/>
  <c r="AJ69" i="1"/>
  <c r="AJ67" i="1"/>
  <c r="AJ26" i="1"/>
  <c r="AG52" i="1"/>
  <c r="AJ18" i="1"/>
  <c r="AJ76" i="1"/>
  <c r="AJ46" i="1"/>
  <c r="AJ36" i="1"/>
  <c r="AJ38" i="1"/>
  <c r="AJ16" i="1"/>
  <c r="AJ78" i="1"/>
  <c r="AJ70" i="1"/>
  <c r="AJ68" i="1"/>
  <c r="AJ32" i="1"/>
  <c r="AJ14" i="1"/>
  <c r="AJ37" i="1"/>
  <c r="AJ56" i="1"/>
  <c r="AJ34" i="1"/>
  <c r="AJ24" i="1"/>
  <c r="AJ66" i="1"/>
  <c r="AJ40" i="1"/>
  <c r="AJ27" i="1"/>
  <c r="AJ29" i="1"/>
  <c r="AJ47" i="1"/>
  <c r="AJ39" i="1"/>
  <c r="AJ58" i="1"/>
  <c r="AJ35" i="1"/>
  <c r="AJ25" i="1"/>
  <c r="AJ55" i="1"/>
  <c r="AJ33" i="1"/>
  <c r="AJ72" i="1"/>
  <c r="AJ23" i="1"/>
  <c r="AJ42" i="1"/>
  <c r="T52" i="1"/>
  <c r="R62" i="1"/>
  <c r="G60" i="1"/>
  <c r="J49" i="1" l="1"/>
  <c r="R80" i="1"/>
  <c r="T80" i="1" s="1"/>
  <c r="T62" i="1"/>
  <c r="J60" i="1"/>
  <c r="L62" i="1"/>
  <c r="O52" i="1"/>
  <c r="Y80" i="1"/>
  <c r="AB80" i="1" s="1"/>
  <c r="AB62" i="1"/>
  <c r="J76" i="1"/>
  <c r="J36" i="1"/>
  <c r="J68" i="1"/>
  <c r="J56" i="1"/>
  <c r="J34" i="1"/>
  <c r="J18" i="1"/>
  <c r="J39" i="1"/>
  <c r="G52" i="1"/>
  <c r="J69" i="1"/>
  <c r="J33" i="1"/>
  <c r="J32" i="1"/>
  <c r="J27" i="1"/>
  <c r="J25" i="1"/>
  <c r="J38" i="1"/>
  <c r="J35" i="1"/>
  <c r="J55" i="1"/>
  <c r="J40" i="1"/>
  <c r="J23" i="1"/>
  <c r="J26" i="1"/>
  <c r="J14" i="1"/>
  <c r="J67" i="1"/>
  <c r="J16" i="1"/>
  <c r="J66" i="1"/>
  <c r="J58" i="1"/>
  <c r="J70" i="1"/>
  <c r="J78" i="1"/>
  <c r="J24" i="1"/>
  <c r="J37" i="1"/>
  <c r="J42" i="1"/>
  <c r="J29" i="1"/>
  <c r="J45" i="1"/>
  <c r="J72" i="1"/>
  <c r="J46" i="1"/>
  <c r="J47" i="1"/>
  <c r="AJ52" i="1"/>
  <c r="AG62" i="1"/>
  <c r="L80" i="1" l="1"/>
  <c r="O80" i="1" s="1"/>
  <c r="O62" i="1"/>
  <c r="G62" i="1"/>
  <c r="J52" i="1"/>
  <c r="AJ62" i="1"/>
  <c r="AG80" i="1"/>
  <c r="AJ80" i="1" s="1"/>
  <c r="G80" i="1" l="1"/>
  <c r="J80" i="1" s="1"/>
  <c r="J62" i="1"/>
</calcChain>
</file>

<file path=xl/sharedStrings.xml><?xml version="1.0" encoding="utf-8"?>
<sst xmlns="http://schemas.openxmlformats.org/spreadsheetml/2006/main" count="92" uniqueCount="66">
  <si>
    <t>Pomme de terre</t>
  </si>
  <si>
    <t>Concombre</t>
  </si>
  <si>
    <t>Grandes cultures - Maïs soya</t>
  </si>
  <si>
    <t>Tomates</t>
  </si>
  <si>
    <t>Propriété de Groupe Vision Gestion Inc</t>
  </si>
  <si>
    <t>Concombre trans. - 2020</t>
  </si>
  <si>
    <t>Grandes cultures - 5 ans</t>
  </si>
  <si>
    <t>Californie - Tomate</t>
  </si>
  <si>
    <t>Québec - tomate</t>
  </si>
  <si>
    <t>Analyse Technico-Économique</t>
  </si>
  <si>
    <t>Rendement vendu qtx/ac</t>
  </si>
  <si>
    <t>Rendement vendu tc/ac</t>
  </si>
  <si>
    <t>Rendement vendu t/ac</t>
  </si>
  <si>
    <t xml:space="preserve"> </t>
  </si>
  <si>
    <t>acres</t>
  </si>
  <si>
    <t>Qtx</t>
  </si>
  <si>
    <t>Tc</t>
  </si>
  <si>
    <t>T courte</t>
  </si>
  <si>
    <t>Montant</t>
  </si>
  <si>
    <t>$/acres</t>
  </si>
  <si>
    <t>$/t</t>
  </si>
  <si>
    <t>%</t>
  </si>
  <si>
    <t>Revenus</t>
  </si>
  <si>
    <t>Revenus de vente - Produits</t>
  </si>
  <si>
    <t>Programme Agri - 4,2% de VNA</t>
  </si>
  <si>
    <t>Autres revenus</t>
  </si>
  <si>
    <t>Total Revenus</t>
  </si>
  <si>
    <t>Coût des ventes</t>
  </si>
  <si>
    <t>Coût d'opérations Direct</t>
  </si>
  <si>
    <t>Semences / Transplantation</t>
  </si>
  <si>
    <t>Fertilisants</t>
  </si>
  <si>
    <t>Pesticides</t>
  </si>
  <si>
    <t>Autres intrants</t>
  </si>
  <si>
    <t xml:space="preserve">Total  </t>
  </si>
  <si>
    <t>Opérations culturales</t>
  </si>
  <si>
    <t>Carburant</t>
  </si>
  <si>
    <t xml:space="preserve">Irrigation </t>
  </si>
  <si>
    <t>Autres travaux au champs</t>
  </si>
  <si>
    <t xml:space="preserve">Entretien de la machinerie </t>
  </si>
  <si>
    <t xml:space="preserve">Entretien des terres </t>
  </si>
  <si>
    <t>Mise en marché</t>
  </si>
  <si>
    <t>Cotisation ASREC</t>
  </si>
  <si>
    <t>Inventaires au début</t>
  </si>
  <si>
    <t>Inventaire à la fin</t>
  </si>
  <si>
    <t>Variations d'inventaire</t>
  </si>
  <si>
    <t>Total du coût des ventes</t>
  </si>
  <si>
    <t>Bénéfice avant salaires et intérêts court terme</t>
  </si>
  <si>
    <t>Dépenses d'opération</t>
  </si>
  <si>
    <t>Intérêt et frais bancaires</t>
  </si>
  <si>
    <t>Main d'œuvre</t>
  </si>
  <si>
    <t>Total des frais variables</t>
  </si>
  <si>
    <t>Bénéfice brut</t>
  </si>
  <si>
    <t>Frais Fixes</t>
  </si>
  <si>
    <t>Taxes</t>
  </si>
  <si>
    <t>Honoraires professionnel</t>
  </si>
  <si>
    <t>Assurances générales</t>
  </si>
  <si>
    <t xml:space="preserve">Électricité </t>
  </si>
  <si>
    <t>Autres</t>
  </si>
  <si>
    <t>Total des frais fixes</t>
  </si>
  <si>
    <t>Autres revenus #1</t>
  </si>
  <si>
    <t>Total des autres revenus</t>
  </si>
  <si>
    <t>BAIIA</t>
  </si>
  <si>
    <t>Superficie cultivée</t>
  </si>
  <si>
    <t>Travaux forfait et locations machi.&amp; terre</t>
  </si>
  <si>
    <t xml:space="preserve">Pomme de terre </t>
  </si>
  <si>
    <t>Avec le soutien financier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</si>
</sst>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$&quot;_);[Red]\(#,##0\ &quot;$&quot;\)"/>
    <numFmt numFmtId="8" formatCode="#,##0.00\ &quot;$&quot;_);[Red]\(#,##0.00\ &quot;$&quot;\)"/>
    <numFmt numFmtId="164" formatCode="0_);[Red]\(0\)"/>
    <numFmt numFmtId="165" formatCode="#,##0.0_);[Red]\(#,##0.0\)"/>
    <numFmt numFmtId="166" formatCode="0.0%"/>
    <numFmt numFmtId="167" formatCode="#,##0.00\ &quot;$&quot;_-;#,##0.00\ &quot;$&quot;\-"/>
    <numFmt numFmtId="168" formatCode="&quot;$&quot;#,##0.00_);[Red]\(&quot;$&quot;#,##0.00\)"/>
    <numFmt numFmtId="169" formatCode="#,##0.0\ &quot;$&quot;_);[Red]\(#,##0.0\ &quot;$&quot;\)"/>
  </numFmts>
  <fonts count="3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cumin Pro Wide"/>
      <family val="2"/>
    </font>
    <font>
      <i/>
      <sz val="10"/>
      <name val="Acumin Pro Wide"/>
      <family val="2"/>
    </font>
    <font>
      <sz val="12"/>
      <color theme="1"/>
      <name val="Calibri"/>
      <family val="2"/>
      <scheme val="minor"/>
    </font>
    <font>
      <b/>
      <i/>
      <sz val="10"/>
      <name val="Acumin Pro Wide"/>
      <family val="2"/>
    </font>
    <font>
      <b/>
      <i/>
      <sz val="9"/>
      <name val="Acumin Pro Wide"/>
      <family val="2"/>
    </font>
    <font>
      <sz val="16"/>
      <name val="Acumin Pro Wide"/>
      <family val="2"/>
    </font>
    <font>
      <i/>
      <sz val="16"/>
      <name val="Acumin Pro Wide"/>
      <family val="2"/>
    </font>
    <font>
      <b/>
      <i/>
      <u/>
      <sz val="16"/>
      <name val="Acumin Pro Wide"/>
      <family val="2"/>
    </font>
    <font>
      <b/>
      <sz val="16"/>
      <name val="Acumin Pro Wide"/>
      <family val="2"/>
    </font>
    <font>
      <b/>
      <i/>
      <sz val="16"/>
      <name val="Acumin Pro Wide"/>
      <family val="2"/>
    </font>
    <font>
      <b/>
      <sz val="18"/>
      <name val="Arial Narrow"/>
      <family val="2"/>
    </font>
    <font>
      <sz val="18"/>
      <name val="Arial Narrow"/>
      <family val="2"/>
    </font>
    <font>
      <b/>
      <i/>
      <sz val="18"/>
      <name val="Arial Narrow"/>
      <family val="2"/>
    </font>
    <font>
      <sz val="20"/>
      <name val="Arial Narrow"/>
      <family val="2"/>
    </font>
    <font>
      <b/>
      <sz val="20"/>
      <name val="Arial Narrow"/>
      <family val="2"/>
    </font>
    <font>
      <b/>
      <i/>
      <sz val="20"/>
      <name val="Arial Narrow"/>
      <family val="2"/>
    </font>
    <font>
      <sz val="22"/>
      <name val="Arial Narrow"/>
      <family val="2"/>
    </font>
    <font>
      <b/>
      <sz val="22"/>
      <name val="Arial Narrow"/>
      <family val="2"/>
    </font>
    <font>
      <i/>
      <sz val="22"/>
      <name val="Arial Narrow"/>
      <family val="2"/>
    </font>
    <font>
      <b/>
      <i/>
      <sz val="22"/>
      <name val="Arial Narrow"/>
      <family val="2"/>
    </font>
    <font>
      <sz val="22"/>
      <color theme="1"/>
      <name val="Arial Narrow"/>
      <family val="2"/>
    </font>
    <font>
      <b/>
      <sz val="22"/>
      <color theme="1"/>
      <name val="Arial Narrow"/>
      <family val="2"/>
    </font>
    <font>
      <u/>
      <sz val="22"/>
      <name val="Arial Narrow"/>
      <family val="2"/>
    </font>
    <font>
      <i/>
      <sz val="22"/>
      <color theme="2"/>
      <name val="Arial Narrow"/>
      <family val="2"/>
    </font>
    <font>
      <sz val="20"/>
      <name val="Acumin Pro Wide"/>
      <family val="2"/>
    </font>
    <font>
      <sz val="22"/>
      <name val="Acumin Pro Wide"/>
      <family val="2"/>
    </font>
    <font>
      <b/>
      <sz val="22"/>
      <name val="Acumin Pro Wide"/>
      <family val="2"/>
    </font>
    <font>
      <b/>
      <i/>
      <sz val="20"/>
      <name val="Acumin Pro Wide"/>
      <family val="2"/>
    </font>
    <font>
      <b/>
      <sz val="16"/>
      <name val="Acumin Pro Wide"/>
    </font>
  </fonts>
  <fills count="11">
    <fill>
      <patternFill patternType="none"/>
    </fill>
    <fill>
      <patternFill patternType="gray125"/>
    </fill>
    <fill>
      <patternFill patternType="solid">
        <fgColor rgb="FFE6C9F2"/>
        <bgColor indexed="64"/>
      </patternFill>
    </fill>
    <fill>
      <patternFill patternType="solid">
        <fgColor rgb="FF9EEBB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1" fillId="0" borderId="0">
      <alignment vertical="top"/>
    </xf>
    <xf numFmtId="10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74">
    <xf numFmtId="0" fontId="0" fillId="0" borderId="0" xfId="0"/>
    <xf numFmtId="0" fontId="3" fillId="0" borderId="0" xfId="2" applyFont="1" applyAlignment="1">
      <alignment horizontal="left" vertical="center"/>
    </xf>
    <xf numFmtId="0" fontId="2" fillId="0" borderId="0" xfId="2" applyFont="1" applyAlignment="1">
      <alignment horizontal="centerContinuous"/>
    </xf>
    <xf numFmtId="6" fontId="2" fillId="0" borderId="0" xfId="2" applyNumberFormat="1" applyFont="1" applyAlignment="1">
      <alignment horizontal="left" vertical="center"/>
    </xf>
    <xf numFmtId="6" fontId="3" fillId="0" borderId="0" xfId="2" applyNumberFormat="1" applyFont="1" applyAlignment="1">
      <alignment horizontal="left" vertical="center"/>
    </xf>
    <xf numFmtId="6" fontId="3" fillId="0" borderId="5" xfId="2" applyNumberFormat="1" applyFont="1" applyBorder="1" applyAlignment="1">
      <alignment horizontal="left" vertical="center"/>
    </xf>
    <xf numFmtId="6" fontId="5" fillId="0" borderId="0" xfId="2" applyNumberFormat="1" applyFont="1" applyAlignment="1">
      <alignment horizontal="center" vertical="center"/>
    </xf>
    <xf numFmtId="6" fontId="6" fillId="0" borderId="0" xfId="4" applyNumberFormat="1" applyFont="1" applyFill="1" applyBorder="1" applyAlignment="1">
      <alignment horizontal="left" vertical="center"/>
    </xf>
    <xf numFmtId="0" fontId="3" fillId="0" borderId="0" xfId="2" applyFont="1" applyAlignment="1">
      <alignment horizontal="centerContinuous"/>
    </xf>
    <xf numFmtId="6" fontId="3" fillId="0" borderId="0" xfId="2" applyNumberFormat="1" applyFont="1" applyAlignment="1">
      <alignment horizontal="center" vertical="center"/>
    </xf>
    <xf numFmtId="6" fontId="2" fillId="0" borderId="14" xfId="2" applyNumberFormat="1" applyFont="1" applyBorder="1" applyAlignment="1">
      <alignment horizontal="left" vertical="center"/>
    </xf>
    <xf numFmtId="6" fontId="2" fillId="0" borderId="7" xfId="2" applyNumberFormat="1" applyFont="1" applyBorder="1" applyAlignment="1">
      <alignment horizontal="left" vertical="center"/>
    </xf>
    <xf numFmtId="6" fontId="3" fillId="0" borderId="7" xfId="2" applyNumberFormat="1" applyFont="1" applyBorder="1" applyAlignment="1">
      <alignment horizontal="center" vertical="center"/>
    </xf>
    <xf numFmtId="6" fontId="2" fillId="2" borderId="7" xfId="4" applyNumberFormat="1" applyFont="1" applyFill="1" applyBorder="1" applyAlignment="1">
      <alignment horizontal="center" vertical="center"/>
    </xf>
    <xf numFmtId="6" fontId="3" fillId="2" borderId="7" xfId="2" applyNumberFormat="1" applyFont="1" applyFill="1" applyBorder="1" applyAlignment="1">
      <alignment horizontal="center" vertical="center"/>
    </xf>
    <xf numFmtId="169" fontId="3" fillId="2" borderId="7" xfId="2" applyNumberFormat="1" applyFont="1" applyFill="1" applyBorder="1" applyAlignment="1">
      <alignment horizontal="center" vertical="center"/>
    </xf>
    <xf numFmtId="6" fontId="2" fillId="3" borderId="7" xfId="4" applyNumberFormat="1" applyFont="1" applyFill="1" applyBorder="1" applyAlignment="1">
      <alignment horizontal="center" vertical="center"/>
    </xf>
    <xf numFmtId="6" fontId="3" fillId="3" borderId="7" xfId="2" applyNumberFormat="1" applyFont="1" applyFill="1" applyBorder="1" applyAlignment="1">
      <alignment horizontal="center" vertical="center"/>
    </xf>
    <xf numFmtId="169" fontId="3" fillId="3" borderId="7" xfId="2" applyNumberFormat="1" applyFont="1" applyFill="1" applyBorder="1" applyAlignment="1">
      <alignment horizontal="center" vertical="center"/>
    </xf>
    <xf numFmtId="6" fontId="2" fillId="4" borderId="7" xfId="4" applyNumberFormat="1" applyFont="1" applyFill="1" applyBorder="1" applyAlignment="1">
      <alignment horizontal="center" vertical="center"/>
    </xf>
    <xf numFmtId="6" fontId="3" fillId="4" borderId="7" xfId="2" applyNumberFormat="1" applyFont="1" applyFill="1" applyBorder="1" applyAlignment="1">
      <alignment horizontal="center" vertical="center"/>
    </xf>
    <xf numFmtId="169" fontId="3" fillId="4" borderId="7" xfId="2" applyNumberFormat="1" applyFont="1" applyFill="1" applyBorder="1" applyAlignment="1">
      <alignment horizontal="center" vertical="center"/>
    </xf>
    <xf numFmtId="6" fontId="2" fillId="5" borderId="7" xfId="4" applyNumberFormat="1" applyFont="1" applyFill="1" applyBorder="1" applyAlignment="1">
      <alignment horizontal="center" vertical="center"/>
    </xf>
    <xf numFmtId="6" fontId="3" fillId="5" borderId="7" xfId="2" applyNumberFormat="1" applyFont="1" applyFill="1" applyBorder="1" applyAlignment="1">
      <alignment horizontal="center" vertical="center"/>
    </xf>
    <xf numFmtId="169" fontId="3" fillId="5" borderId="7" xfId="2" applyNumberFormat="1" applyFont="1" applyFill="1" applyBorder="1" applyAlignment="1">
      <alignment horizontal="center" vertical="center"/>
    </xf>
    <xf numFmtId="6" fontId="2" fillId="0" borderId="0" xfId="4" applyNumberFormat="1" applyFont="1" applyFill="1" applyAlignment="1">
      <alignment horizontal="center" vertical="center"/>
    </xf>
    <xf numFmtId="169" fontId="3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6" fontId="9" fillId="0" borderId="0" xfId="2" applyNumberFormat="1" applyFont="1" applyAlignment="1">
      <alignment horizontal="left" vertical="center"/>
    </xf>
    <xf numFmtId="6" fontId="7" fillId="0" borderId="0" xfId="2" applyNumberFormat="1" applyFont="1" applyAlignment="1">
      <alignment horizontal="left" vertical="center"/>
    </xf>
    <xf numFmtId="6" fontId="8" fillId="0" borderId="0" xfId="2" applyNumberFormat="1" applyFont="1" applyAlignment="1">
      <alignment horizontal="left" vertical="center"/>
    </xf>
    <xf numFmtId="6" fontId="7" fillId="0" borderId="4" xfId="2" applyNumberFormat="1" applyFont="1" applyBorder="1" applyAlignment="1">
      <alignment horizontal="left" vertical="center"/>
    </xf>
    <xf numFmtId="6" fontId="7" fillId="0" borderId="5" xfId="2" applyNumberFormat="1" applyFont="1" applyBorder="1" applyAlignment="1">
      <alignment horizontal="left" vertical="center"/>
    </xf>
    <xf numFmtId="6" fontId="8" fillId="0" borderId="5" xfId="2" applyNumberFormat="1" applyFont="1" applyBorder="1" applyAlignment="1">
      <alignment horizontal="left" vertical="center"/>
    </xf>
    <xf numFmtId="6" fontId="7" fillId="2" borderId="5" xfId="2" applyNumberFormat="1" applyFont="1" applyFill="1" applyBorder="1" applyAlignment="1">
      <alignment horizontal="left" vertical="center"/>
    </xf>
    <xf numFmtId="6" fontId="8" fillId="2" borderId="5" xfId="2" applyNumberFormat="1" applyFont="1" applyFill="1" applyBorder="1" applyAlignment="1">
      <alignment horizontal="left" vertical="center"/>
    </xf>
    <xf numFmtId="6" fontId="7" fillId="3" borderId="5" xfId="2" applyNumberFormat="1" applyFont="1" applyFill="1" applyBorder="1" applyAlignment="1">
      <alignment horizontal="left" vertical="center"/>
    </xf>
    <xf numFmtId="6" fontId="8" fillId="3" borderId="5" xfId="2" applyNumberFormat="1" applyFont="1" applyFill="1" applyBorder="1" applyAlignment="1">
      <alignment horizontal="left" vertical="center"/>
    </xf>
    <xf numFmtId="6" fontId="7" fillId="4" borderId="5" xfId="2" applyNumberFormat="1" applyFont="1" applyFill="1" applyBorder="1" applyAlignment="1">
      <alignment horizontal="left" vertical="center"/>
    </xf>
    <xf numFmtId="6" fontId="8" fillId="4" borderId="5" xfId="2" applyNumberFormat="1" applyFont="1" applyFill="1" applyBorder="1" applyAlignment="1">
      <alignment horizontal="left" vertical="center"/>
    </xf>
    <xf numFmtId="6" fontId="7" fillId="5" borderId="5" xfId="2" applyNumberFormat="1" applyFont="1" applyFill="1" applyBorder="1" applyAlignment="1">
      <alignment horizontal="left" vertical="center"/>
    </xf>
    <xf numFmtId="6" fontId="8" fillId="5" borderId="5" xfId="2" applyNumberFormat="1" applyFont="1" applyFill="1" applyBorder="1" applyAlignment="1">
      <alignment horizontal="left" vertical="center"/>
    </xf>
    <xf numFmtId="6" fontId="7" fillId="6" borderId="5" xfId="2" applyNumberFormat="1" applyFont="1" applyFill="1" applyBorder="1" applyAlignment="1">
      <alignment horizontal="left" vertical="center"/>
    </xf>
    <xf numFmtId="6" fontId="8" fillId="6" borderId="5" xfId="2" applyNumberFormat="1" applyFont="1" applyFill="1" applyBorder="1" applyAlignment="1">
      <alignment horizontal="left" vertical="center"/>
    </xf>
    <xf numFmtId="6" fontId="7" fillId="0" borderId="6" xfId="2" applyNumberFormat="1" applyFont="1" applyBorder="1" applyAlignment="1">
      <alignment horizontal="left" vertical="center"/>
    </xf>
    <xf numFmtId="6" fontId="11" fillId="0" borderId="0" xfId="2" applyNumberFormat="1" applyFont="1" applyAlignment="1">
      <alignment horizontal="center" vertical="center"/>
    </xf>
    <xf numFmtId="6" fontId="10" fillId="0" borderId="0" xfId="2" applyNumberFormat="1" applyFont="1" applyAlignment="1">
      <alignment horizontal="left" vertical="center"/>
    </xf>
    <xf numFmtId="6" fontId="10" fillId="0" borderId="0" xfId="2" applyNumberFormat="1" applyFont="1" applyAlignment="1">
      <alignment horizontal="right" vertical="center"/>
    </xf>
    <xf numFmtId="6" fontId="11" fillId="0" borderId="0" xfId="4" applyNumberFormat="1" applyFont="1" applyFill="1" applyBorder="1" applyAlignment="1">
      <alignment horizontal="left" vertical="center"/>
    </xf>
    <xf numFmtId="6" fontId="11" fillId="4" borderId="0" xfId="4" applyNumberFormat="1" applyFont="1" applyFill="1" applyBorder="1" applyAlignment="1">
      <alignment horizontal="left" vertical="center"/>
    </xf>
    <xf numFmtId="6" fontId="11" fillId="2" borderId="0" xfId="4" applyNumberFormat="1" applyFont="1" applyFill="1" applyBorder="1" applyAlignment="1">
      <alignment horizontal="left" vertical="center"/>
    </xf>
    <xf numFmtId="6" fontId="11" fillId="3" borderId="0" xfId="4" applyNumberFormat="1" applyFont="1" applyFill="1" applyBorder="1" applyAlignment="1">
      <alignment horizontal="left" vertical="center"/>
    </xf>
    <xf numFmtId="6" fontId="11" fillId="5" borderId="0" xfId="4" applyNumberFormat="1" applyFont="1" applyFill="1" applyBorder="1" applyAlignment="1">
      <alignment horizontal="left" vertical="center"/>
    </xf>
    <xf numFmtId="6" fontId="11" fillId="6" borderId="0" xfId="4" applyNumberFormat="1" applyFont="1" applyFill="1" applyBorder="1" applyAlignment="1">
      <alignment horizontal="left" vertical="center"/>
    </xf>
    <xf numFmtId="6" fontId="10" fillId="2" borderId="0" xfId="4" applyNumberFormat="1" applyFont="1" applyFill="1" applyBorder="1" applyAlignment="1">
      <alignment horizontal="center" vertical="center"/>
    </xf>
    <xf numFmtId="6" fontId="10" fillId="3" borderId="0" xfId="4" applyNumberFormat="1" applyFont="1" applyFill="1" applyBorder="1" applyAlignment="1">
      <alignment horizontal="center" vertical="center"/>
    </xf>
    <xf numFmtId="6" fontId="10" fillId="4" borderId="0" xfId="4" applyNumberFormat="1" applyFont="1" applyFill="1" applyBorder="1" applyAlignment="1">
      <alignment horizontal="center" vertical="center"/>
    </xf>
    <xf numFmtId="6" fontId="10" fillId="5" borderId="0" xfId="4" applyNumberFormat="1" applyFont="1" applyFill="1" applyBorder="1" applyAlignment="1">
      <alignment horizontal="center" vertical="center"/>
    </xf>
    <xf numFmtId="6" fontId="10" fillId="6" borderId="0" xfId="4" applyNumberFormat="1" applyFont="1" applyFill="1" applyBorder="1" applyAlignment="1">
      <alignment horizontal="center" vertical="center"/>
    </xf>
    <xf numFmtId="9" fontId="11" fillId="2" borderId="0" xfId="3" applyNumberFormat="1" applyFont="1" applyFill="1" applyBorder="1" applyAlignment="1">
      <alignment horizontal="left" vertical="center"/>
    </xf>
    <xf numFmtId="9" fontId="11" fillId="3" borderId="0" xfId="3" applyNumberFormat="1" applyFont="1" applyFill="1" applyBorder="1" applyAlignment="1">
      <alignment horizontal="left" vertical="center"/>
    </xf>
    <xf numFmtId="9" fontId="11" fillId="4" borderId="0" xfId="3" applyNumberFormat="1" applyFont="1" applyFill="1" applyBorder="1" applyAlignment="1">
      <alignment horizontal="left" vertical="center"/>
    </xf>
    <xf numFmtId="9" fontId="11" fillId="5" borderId="0" xfId="3" applyNumberFormat="1" applyFont="1" applyFill="1" applyBorder="1" applyAlignment="1">
      <alignment horizontal="left" vertical="center"/>
    </xf>
    <xf numFmtId="9" fontId="11" fillId="6" borderId="0" xfId="3" applyNumberFormat="1" applyFont="1" applyFill="1" applyBorder="1" applyAlignment="1">
      <alignment horizontal="left" vertical="center"/>
    </xf>
    <xf numFmtId="6" fontId="13" fillId="0" borderId="0" xfId="2" applyNumberFormat="1" applyFont="1" applyAlignment="1">
      <alignment horizontal="left" vertical="center"/>
    </xf>
    <xf numFmtId="6" fontId="14" fillId="0" borderId="0" xfId="2" applyNumberFormat="1" applyFont="1" applyAlignment="1">
      <alignment horizontal="center" vertical="center"/>
    </xf>
    <xf numFmtId="6" fontId="14" fillId="2" borderId="0" xfId="2" applyNumberFormat="1" applyFont="1" applyFill="1" applyAlignment="1">
      <alignment horizontal="center" vertical="center"/>
    </xf>
    <xf numFmtId="6" fontId="14" fillId="3" borderId="0" xfId="2" applyNumberFormat="1" applyFont="1" applyFill="1" applyAlignment="1">
      <alignment horizontal="center" vertical="center"/>
    </xf>
    <xf numFmtId="6" fontId="14" fillId="4" borderId="0" xfId="2" applyNumberFormat="1" applyFont="1" applyFill="1" applyAlignment="1">
      <alignment horizontal="center" vertical="center"/>
    </xf>
    <xf numFmtId="6" fontId="14" fillId="5" borderId="0" xfId="2" applyNumberFormat="1" applyFont="1" applyFill="1" applyAlignment="1">
      <alignment horizontal="center" vertical="center"/>
    </xf>
    <xf numFmtId="6" fontId="14" fillId="6" borderId="0" xfId="2" applyNumberFormat="1" applyFont="1" applyFill="1" applyAlignment="1">
      <alignment horizontal="center" vertical="center"/>
    </xf>
    <xf numFmtId="6" fontId="15" fillId="0" borderId="0" xfId="2" applyNumberFormat="1" applyFont="1" applyAlignment="1">
      <alignment horizontal="left" vertical="center"/>
    </xf>
    <xf numFmtId="6" fontId="16" fillId="0" borderId="0" xfId="2" applyNumberFormat="1" applyFont="1" applyAlignment="1">
      <alignment horizontal="center" vertical="center"/>
    </xf>
    <xf numFmtId="0" fontId="18" fillId="0" borderId="0" xfId="2" applyFont="1" applyAlignment="1">
      <alignment horizontal="left" vertical="center"/>
    </xf>
    <xf numFmtId="0" fontId="18" fillId="0" borderId="6" xfId="2" applyFont="1" applyBorder="1" applyAlignment="1">
      <alignment horizontal="left" vertical="center"/>
    </xf>
    <xf numFmtId="0" fontId="19" fillId="0" borderId="0" xfId="2" applyFont="1" applyAlignment="1">
      <alignment horizontal="right" vertical="center"/>
    </xf>
    <xf numFmtId="0" fontId="19" fillId="0" borderId="0" xfId="2" applyFont="1" applyAlignment="1">
      <alignment horizontal="left" vertical="center"/>
    </xf>
    <xf numFmtId="38" fontId="20" fillId="0" borderId="0" xfId="2" applyNumberFormat="1" applyFont="1" applyAlignment="1">
      <alignment horizontal="center" vertical="center"/>
    </xf>
    <xf numFmtId="165" fontId="20" fillId="2" borderId="8" xfId="2" applyNumberFormat="1" applyFont="1" applyFill="1" applyBorder="1" applyAlignment="1">
      <alignment horizontal="center" vertical="center"/>
    </xf>
    <xf numFmtId="38" fontId="20" fillId="2" borderId="0" xfId="2" applyNumberFormat="1" applyFont="1" applyFill="1" applyAlignment="1">
      <alignment horizontal="center" vertical="center"/>
    </xf>
    <xf numFmtId="165" fontId="20" fillId="3" borderId="8" xfId="2" applyNumberFormat="1" applyFont="1" applyFill="1" applyBorder="1" applyAlignment="1">
      <alignment horizontal="center" vertical="center"/>
    </xf>
    <xf numFmtId="38" fontId="20" fillId="3" borderId="0" xfId="2" applyNumberFormat="1" applyFont="1" applyFill="1" applyAlignment="1">
      <alignment horizontal="center" vertical="center"/>
    </xf>
    <xf numFmtId="165" fontId="20" fillId="4" borderId="0" xfId="2" applyNumberFormat="1" applyFont="1" applyFill="1" applyAlignment="1">
      <alignment horizontal="center" vertical="center"/>
    </xf>
    <xf numFmtId="38" fontId="20" fillId="4" borderId="0" xfId="2" applyNumberFormat="1" applyFont="1" applyFill="1" applyAlignment="1">
      <alignment horizontal="center" vertical="center"/>
    </xf>
    <xf numFmtId="165" fontId="20" fillId="7" borderId="8" xfId="2" applyNumberFormat="1" applyFont="1" applyFill="1" applyBorder="1" applyAlignment="1">
      <alignment horizontal="center" vertical="center"/>
    </xf>
    <xf numFmtId="38" fontId="20" fillId="7" borderId="0" xfId="2" applyNumberFormat="1" applyFont="1" applyFill="1" applyAlignment="1">
      <alignment horizontal="center" vertical="center"/>
    </xf>
    <xf numFmtId="38" fontId="20" fillId="5" borderId="0" xfId="2" applyNumberFormat="1" applyFont="1" applyFill="1" applyAlignment="1">
      <alignment horizontal="center" vertical="center"/>
    </xf>
    <xf numFmtId="38" fontId="20" fillId="7" borderId="8" xfId="2" applyNumberFormat="1" applyFont="1" applyFill="1" applyBorder="1" applyAlignment="1">
      <alignment horizontal="center" vertical="center"/>
    </xf>
    <xf numFmtId="38" fontId="20" fillId="6" borderId="0" xfId="2" applyNumberFormat="1" applyFont="1" applyFill="1" applyAlignment="1">
      <alignment horizontal="center" vertical="center"/>
    </xf>
    <xf numFmtId="0" fontId="18" fillId="0" borderId="0" xfId="2" applyFont="1" applyAlignment="1">
      <alignment horizontal="centerContinuous"/>
    </xf>
    <xf numFmtId="6" fontId="18" fillId="0" borderId="0" xfId="2" applyNumberFormat="1" applyFont="1" applyAlignment="1">
      <alignment horizontal="left" vertical="center"/>
    </xf>
    <xf numFmtId="6" fontId="18" fillId="0" borderId="6" xfId="2" applyNumberFormat="1" applyFont="1" applyBorder="1" applyAlignment="1">
      <alignment horizontal="left" vertical="center"/>
    </xf>
    <xf numFmtId="6" fontId="19" fillId="0" borderId="0" xfId="2" applyNumberFormat="1" applyFont="1" applyAlignment="1">
      <alignment horizontal="left" vertical="center"/>
    </xf>
    <xf numFmtId="6" fontId="20" fillId="0" borderId="0" xfId="3" applyNumberFormat="1" applyFont="1" applyBorder="1" applyAlignment="1">
      <alignment horizontal="center" vertical="center"/>
    </xf>
    <xf numFmtId="6" fontId="20" fillId="2" borderId="0" xfId="2" applyNumberFormat="1" applyFont="1" applyFill="1" applyAlignment="1">
      <alignment horizontal="right" vertical="center"/>
    </xf>
    <xf numFmtId="6" fontId="20" fillId="2" borderId="5" xfId="2" applyNumberFormat="1" applyFont="1" applyFill="1" applyBorder="1" applyAlignment="1">
      <alignment horizontal="right" vertical="center"/>
    </xf>
    <xf numFmtId="6" fontId="20" fillId="2" borderId="0" xfId="3" applyNumberFormat="1" applyFont="1" applyFill="1" applyBorder="1" applyAlignment="1">
      <alignment horizontal="center" vertical="center"/>
    </xf>
    <xf numFmtId="6" fontId="20" fillId="3" borderId="0" xfId="2" applyNumberFormat="1" applyFont="1" applyFill="1" applyAlignment="1">
      <alignment horizontal="right" vertical="center"/>
    </xf>
    <xf numFmtId="6" fontId="20" fillId="3" borderId="5" xfId="2" applyNumberFormat="1" applyFont="1" applyFill="1" applyBorder="1" applyAlignment="1">
      <alignment horizontal="right" vertical="center"/>
    </xf>
    <xf numFmtId="6" fontId="20" fillId="3" borderId="0" xfId="3" applyNumberFormat="1" applyFont="1" applyFill="1" applyBorder="1" applyAlignment="1">
      <alignment horizontal="center" vertical="center"/>
    </xf>
    <xf numFmtId="6" fontId="20" fillId="4" borderId="0" xfId="2" applyNumberFormat="1" applyFont="1" applyFill="1" applyAlignment="1">
      <alignment horizontal="right" vertical="center"/>
    </xf>
    <xf numFmtId="6" fontId="20" fillId="4" borderId="5" xfId="2" applyNumberFormat="1" applyFont="1" applyFill="1" applyBorder="1" applyAlignment="1">
      <alignment horizontal="right" vertical="center"/>
    </xf>
    <xf numFmtId="6" fontId="20" fillId="4" borderId="0" xfId="3" applyNumberFormat="1" applyFont="1" applyFill="1" applyBorder="1" applyAlignment="1">
      <alignment horizontal="center" vertical="center"/>
    </xf>
    <xf numFmtId="6" fontId="20" fillId="5" borderId="0" xfId="2" applyNumberFormat="1" applyFont="1" applyFill="1" applyAlignment="1">
      <alignment horizontal="right" vertical="center"/>
    </xf>
    <xf numFmtId="6" fontId="20" fillId="5" borderId="5" xfId="2" applyNumberFormat="1" applyFont="1" applyFill="1" applyBorder="1" applyAlignment="1">
      <alignment horizontal="right" vertical="center"/>
    </xf>
    <xf numFmtId="6" fontId="20" fillId="5" borderId="0" xfId="3" applyNumberFormat="1" applyFont="1" applyFill="1" applyBorder="1" applyAlignment="1">
      <alignment horizontal="center" vertical="center"/>
    </xf>
    <xf numFmtId="166" fontId="20" fillId="6" borderId="0" xfId="1" applyNumberFormat="1" applyFont="1" applyFill="1" applyAlignment="1">
      <alignment horizontal="center" vertical="center"/>
    </xf>
    <xf numFmtId="6" fontId="20" fillId="6" borderId="5" xfId="2" applyNumberFormat="1" applyFont="1" applyFill="1" applyBorder="1" applyAlignment="1">
      <alignment horizontal="right" vertical="center"/>
    </xf>
    <xf numFmtId="6" fontId="20" fillId="6" borderId="0" xfId="3" applyNumberFormat="1" applyFont="1" applyFill="1" applyBorder="1" applyAlignment="1">
      <alignment horizontal="center" vertical="center"/>
    </xf>
    <xf numFmtId="6" fontId="21" fillId="0" borderId="0" xfId="2" applyNumberFormat="1" applyFont="1" applyAlignment="1">
      <alignment horizontal="left" vertical="center"/>
    </xf>
    <xf numFmtId="6" fontId="19" fillId="2" borderId="0" xfId="2" applyNumberFormat="1" applyFont="1" applyFill="1" applyAlignment="1">
      <alignment horizontal="center" vertical="center"/>
    </xf>
    <xf numFmtId="6" fontId="21" fillId="2" borderId="0" xfId="2" applyNumberFormat="1" applyFont="1" applyFill="1" applyAlignment="1">
      <alignment horizontal="left" vertical="center"/>
    </xf>
    <xf numFmtId="6" fontId="19" fillId="3" borderId="0" xfId="2" applyNumberFormat="1" applyFont="1" applyFill="1" applyAlignment="1">
      <alignment horizontal="center" vertical="center"/>
    </xf>
    <xf numFmtId="6" fontId="21" fillId="3" borderId="0" xfId="2" applyNumberFormat="1" applyFont="1" applyFill="1" applyAlignment="1">
      <alignment horizontal="left" vertical="center"/>
    </xf>
    <xf numFmtId="6" fontId="19" fillId="4" borderId="0" xfId="2" applyNumberFormat="1" applyFont="1" applyFill="1" applyAlignment="1">
      <alignment horizontal="center" vertical="center"/>
    </xf>
    <xf numFmtId="6" fontId="21" fillId="4" borderId="0" xfId="2" applyNumberFormat="1" applyFont="1" applyFill="1" applyAlignment="1">
      <alignment horizontal="left" vertical="center"/>
    </xf>
    <xf numFmtId="6" fontId="19" fillId="5" borderId="0" xfId="2" applyNumberFormat="1" applyFont="1" applyFill="1" applyAlignment="1">
      <alignment horizontal="center" vertical="center"/>
    </xf>
    <xf numFmtId="6" fontId="21" fillId="5" borderId="0" xfId="2" applyNumberFormat="1" applyFont="1" applyFill="1" applyAlignment="1">
      <alignment horizontal="left" vertical="center"/>
    </xf>
    <xf numFmtId="6" fontId="19" fillId="6" borderId="0" xfId="2" applyNumberFormat="1" applyFont="1" applyFill="1" applyAlignment="1">
      <alignment horizontal="center" vertical="center"/>
    </xf>
    <xf numFmtId="6" fontId="21" fillId="6" borderId="0" xfId="2" applyNumberFormat="1" applyFont="1" applyFill="1" applyAlignment="1">
      <alignment horizontal="left" vertical="center"/>
    </xf>
    <xf numFmtId="6" fontId="20" fillId="0" borderId="0" xfId="2" applyNumberFormat="1" applyFont="1" applyAlignment="1">
      <alignment horizontal="left" vertical="center"/>
    </xf>
    <xf numFmtId="6" fontId="18" fillId="2" borderId="0" xfId="2" applyNumberFormat="1" applyFont="1" applyFill="1" applyAlignment="1">
      <alignment horizontal="left" vertical="center"/>
    </xf>
    <xf numFmtId="6" fontId="20" fillId="2" borderId="0" xfId="2" applyNumberFormat="1" applyFont="1" applyFill="1" applyAlignment="1">
      <alignment horizontal="left" vertical="center"/>
    </xf>
    <xf numFmtId="6" fontId="18" fillId="3" borderId="0" xfId="2" applyNumberFormat="1" applyFont="1" applyFill="1" applyAlignment="1">
      <alignment horizontal="left" vertical="center"/>
    </xf>
    <xf numFmtId="6" fontId="20" fillId="3" borderId="0" xfId="2" applyNumberFormat="1" applyFont="1" applyFill="1" applyAlignment="1">
      <alignment horizontal="left" vertical="center"/>
    </xf>
    <xf numFmtId="6" fontId="18" fillId="4" borderId="0" xfId="2" applyNumberFormat="1" applyFont="1" applyFill="1" applyAlignment="1">
      <alignment horizontal="left" vertical="center"/>
    </xf>
    <xf numFmtId="6" fontId="20" fillId="4" borderId="0" xfId="2" applyNumberFormat="1" applyFont="1" applyFill="1" applyAlignment="1">
      <alignment horizontal="left" vertical="center"/>
    </xf>
    <xf numFmtId="6" fontId="18" fillId="5" borderId="0" xfId="2" applyNumberFormat="1" applyFont="1" applyFill="1" applyAlignment="1">
      <alignment horizontal="left" vertical="center"/>
    </xf>
    <xf numFmtId="6" fontId="20" fillId="5" borderId="0" xfId="2" applyNumberFormat="1" applyFont="1" applyFill="1" applyAlignment="1">
      <alignment horizontal="left" vertical="center"/>
    </xf>
    <xf numFmtId="6" fontId="18" fillId="6" borderId="0" xfId="2" applyNumberFormat="1" applyFont="1" applyFill="1" applyAlignment="1">
      <alignment horizontal="left" vertical="center"/>
    </xf>
    <xf numFmtId="6" fontId="20" fillId="6" borderId="0" xfId="2" applyNumberFormat="1" applyFont="1" applyFill="1" applyAlignment="1">
      <alignment horizontal="left" vertical="center"/>
    </xf>
    <xf numFmtId="6" fontId="19" fillId="0" borderId="0" xfId="2" applyNumberFormat="1" applyFont="1" applyAlignment="1">
      <alignment horizontal="center" vertical="center"/>
    </xf>
    <xf numFmtId="0" fontId="21" fillId="2" borderId="0" xfId="2" applyFont="1" applyFill="1" applyAlignment="1">
      <alignment horizontal="left" vertical="center"/>
    </xf>
    <xf numFmtId="0" fontId="21" fillId="3" borderId="0" xfId="2" applyFont="1" applyFill="1" applyAlignment="1">
      <alignment horizontal="left" vertical="center"/>
    </xf>
    <xf numFmtId="0" fontId="21" fillId="4" borderId="0" xfId="2" applyFont="1" applyFill="1" applyAlignment="1">
      <alignment horizontal="left" vertical="center"/>
    </xf>
    <xf numFmtId="0" fontId="21" fillId="5" borderId="0" xfId="2" applyFont="1" applyFill="1" applyAlignment="1">
      <alignment horizontal="left" vertical="center"/>
    </xf>
    <xf numFmtId="0" fontId="21" fillId="6" borderId="0" xfId="2" applyFont="1" applyFill="1" applyAlignment="1">
      <alignment horizontal="left" vertical="center"/>
    </xf>
    <xf numFmtId="6" fontId="18" fillId="2" borderId="0" xfId="2" applyNumberFormat="1" applyFont="1" applyFill="1" applyAlignment="1">
      <alignment horizontal="center" vertical="center"/>
    </xf>
    <xf numFmtId="8" fontId="20" fillId="2" borderId="0" xfId="2" applyNumberFormat="1" applyFont="1" applyFill="1" applyAlignment="1">
      <alignment horizontal="left" vertical="center"/>
    </xf>
    <xf numFmtId="9" fontId="20" fillId="2" borderId="0" xfId="3" applyNumberFormat="1" applyFont="1" applyFill="1" applyBorder="1" applyAlignment="1">
      <alignment horizontal="left" vertical="center"/>
    </xf>
    <xf numFmtId="6" fontId="18" fillId="3" borderId="0" xfId="2" applyNumberFormat="1" applyFont="1" applyFill="1" applyAlignment="1">
      <alignment horizontal="center" vertical="center"/>
    </xf>
    <xf numFmtId="8" fontId="20" fillId="3" borderId="0" xfId="2" applyNumberFormat="1" applyFont="1" applyFill="1" applyAlignment="1">
      <alignment horizontal="left" vertical="center"/>
    </xf>
    <xf numFmtId="9" fontId="20" fillId="3" borderId="0" xfId="3" applyNumberFormat="1" applyFont="1" applyFill="1" applyBorder="1" applyAlignment="1">
      <alignment horizontal="left" vertical="center"/>
    </xf>
    <xf numFmtId="6" fontId="18" fillId="4" borderId="0" xfId="2" applyNumberFormat="1" applyFont="1" applyFill="1" applyAlignment="1">
      <alignment horizontal="center" vertical="center"/>
    </xf>
    <xf numFmtId="9" fontId="20" fillId="4" borderId="0" xfId="3" applyNumberFormat="1" applyFont="1" applyFill="1" applyBorder="1" applyAlignment="1">
      <alignment horizontal="left" vertical="center"/>
    </xf>
    <xf numFmtId="6" fontId="18" fillId="5" borderId="0" xfId="2" applyNumberFormat="1" applyFont="1" applyFill="1" applyAlignment="1">
      <alignment horizontal="center" vertical="center"/>
    </xf>
    <xf numFmtId="8" fontId="20" fillId="7" borderId="0" xfId="2" applyNumberFormat="1" applyFont="1" applyFill="1" applyAlignment="1">
      <alignment horizontal="left" vertical="center"/>
    </xf>
    <xf numFmtId="9" fontId="20" fillId="5" borderId="0" xfId="3" applyNumberFormat="1" applyFont="1" applyFill="1" applyBorder="1" applyAlignment="1">
      <alignment horizontal="left" vertical="center"/>
    </xf>
    <xf numFmtId="6" fontId="18" fillId="6" borderId="0" xfId="2" applyNumberFormat="1" applyFont="1" applyFill="1" applyAlignment="1">
      <alignment horizontal="center" vertical="center"/>
    </xf>
    <xf numFmtId="8" fontId="20" fillId="6" borderId="0" xfId="2" applyNumberFormat="1" applyFont="1" applyFill="1" applyAlignment="1">
      <alignment horizontal="left" vertical="center"/>
    </xf>
    <xf numFmtId="9" fontId="20" fillId="6" borderId="0" xfId="3" applyNumberFormat="1" applyFont="1" applyFill="1" applyBorder="1" applyAlignment="1">
      <alignment horizontal="left" vertical="center"/>
    </xf>
    <xf numFmtId="6" fontId="22" fillId="2" borderId="0" xfId="4" applyNumberFormat="1" applyFont="1" applyFill="1" applyBorder="1" applyAlignment="1">
      <alignment horizontal="center" vertical="center"/>
    </xf>
    <xf numFmtId="6" fontId="22" fillId="4" borderId="0" xfId="4" applyNumberFormat="1" applyFont="1" applyFill="1" applyBorder="1" applyAlignment="1">
      <alignment horizontal="center" vertical="center"/>
    </xf>
    <xf numFmtId="6" fontId="22" fillId="5" borderId="0" xfId="4" applyNumberFormat="1" applyFont="1" applyFill="1" applyBorder="1" applyAlignment="1">
      <alignment horizontal="center" vertical="center"/>
    </xf>
    <xf numFmtId="169" fontId="20" fillId="5" borderId="0" xfId="2" applyNumberFormat="1" applyFont="1" applyFill="1" applyAlignment="1">
      <alignment horizontal="left" vertical="center"/>
    </xf>
    <xf numFmtId="8" fontId="20" fillId="5" borderId="0" xfId="2" applyNumberFormat="1" applyFont="1" applyFill="1" applyAlignment="1">
      <alignment horizontal="left" vertical="center"/>
    </xf>
    <xf numFmtId="169" fontId="20" fillId="6" borderId="0" xfId="2" applyNumberFormat="1" applyFont="1" applyFill="1" applyAlignment="1">
      <alignment horizontal="left" vertical="center"/>
    </xf>
    <xf numFmtId="8" fontId="21" fillId="2" borderId="0" xfId="2" applyNumberFormat="1" applyFont="1" applyFill="1" applyAlignment="1">
      <alignment horizontal="left" vertical="center"/>
    </xf>
    <xf numFmtId="8" fontId="21" fillId="3" borderId="0" xfId="2" applyNumberFormat="1" applyFont="1" applyFill="1" applyAlignment="1">
      <alignment horizontal="left" vertical="center"/>
    </xf>
    <xf numFmtId="8" fontId="21" fillId="5" borderId="0" xfId="2" applyNumberFormat="1" applyFont="1" applyFill="1" applyAlignment="1">
      <alignment horizontal="left" vertical="center"/>
    </xf>
    <xf numFmtId="8" fontId="21" fillId="6" borderId="0" xfId="2" applyNumberFormat="1" applyFont="1" applyFill="1" applyAlignment="1">
      <alignment horizontal="left" vertical="center"/>
    </xf>
    <xf numFmtId="6" fontId="19" fillId="0" borderId="6" xfId="2" applyNumberFormat="1" applyFont="1" applyBorder="1" applyAlignment="1">
      <alignment horizontal="left" vertical="center"/>
    </xf>
    <xf numFmtId="6" fontId="19" fillId="0" borderId="0" xfId="2" applyNumberFormat="1" applyFont="1" applyAlignment="1">
      <alignment horizontal="right" vertical="center"/>
    </xf>
    <xf numFmtId="6" fontId="21" fillId="0" borderId="0" xfId="4" applyNumberFormat="1" applyFont="1" applyFill="1" applyBorder="1" applyAlignment="1">
      <alignment horizontal="left" vertical="center"/>
    </xf>
    <xf numFmtId="6" fontId="23" fillId="2" borderId="5" xfId="4" applyNumberFormat="1" applyFont="1" applyFill="1" applyBorder="1" applyAlignment="1">
      <alignment horizontal="center" vertical="center"/>
    </xf>
    <xf numFmtId="6" fontId="21" fillId="2" borderId="5" xfId="4" applyNumberFormat="1" applyFont="1" applyFill="1" applyBorder="1" applyAlignment="1">
      <alignment horizontal="left" vertical="center"/>
    </xf>
    <xf numFmtId="8" fontId="21" fillId="2" borderId="5" xfId="4" applyNumberFormat="1" applyFont="1" applyFill="1" applyBorder="1" applyAlignment="1">
      <alignment horizontal="left" vertical="center"/>
    </xf>
    <xf numFmtId="9" fontId="21" fillId="2" borderId="5" xfId="3" applyNumberFormat="1" applyFont="1" applyFill="1" applyBorder="1" applyAlignment="1">
      <alignment horizontal="left" vertical="center"/>
    </xf>
    <xf numFmtId="6" fontId="23" fillId="3" borderId="5" xfId="4" applyNumberFormat="1" applyFont="1" applyFill="1" applyBorder="1" applyAlignment="1">
      <alignment horizontal="center" vertical="center"/>
    </xf>
    <xf numFmtId="6" fontId="21" fillId="3" borderId="5" xfId="4" applyNumberFormat="1" applyFont="1" applyFill="1" applyBorder="1" applyAlignment="1">
      <alignment horizontal="left" vertical="center"/>
    </xf>
    <xf numFmtId="8" fontId="21" fillId="3" borderId="5" xfId="4" applyNumberFormat="1" applyFont="1" applyFill="1" applyBorder="1" applyAlignment="1">
      <alignment horizontal="left" vertical="center"/>
    </xf>
    <xf numFmtId="9" fontId="21" fillId="3" borderId="5" xfId="3" applyNumberFormat="1" applyFont="1" applyFill="1" applyBorder="1" applyAlignment="1">
      <alignment horizontal="left" vertical="center"/>
    </xf>
    <xf numFmtId="6" fontId="23" fillId="4" borderId="5" xfId="4" applyNumberFormat="1" applyFont="1" applyFill="1" applyBorder="1" applyAlignment="1">
      <alignment horizontal="center" vertical="center"/>
    </xf>
    <xf numFmtId="6" fontId="21" fillId="4" borderId="5" xfId="4" applyNumberFormat="1" applyFont="1" applyFill="1" applyBorder="1" applyAlignment="1">
      <alignment horizontal="left" vertical="center"/>
    </xf>
    <xf numFmtId="9" fontId="21" fillId="4" borderId="5" xfId="3" applyNumberFormat="1" applyFont="1" applyFill="1" applyBorder="1" applyAlignment="1">
      <alignment horizontal="left" vertical="center"/>
    </xf>
    <xf numFmtId="6" fontId="21" fillId="4" borderId="0" xfId="4" applyNumberFormat="1" applyFont="1" applyFill="1" applyBorder="1" applyAlignment="1">
      <alignment horizontal="left" vertical="center"/>
    </xf>
    <xf numFmtId="6" fontId="23" fillId="5" borderId="5" xfId="4" applyNumberFormat="1" applyFont="1" applyFill="1" applyBorder="1" applyAlignment="1">
      <alignment horizontal="center" vertical="center"/>
    </xf>
    <xf numFmtId="6" fontId="21" fillId="5" borderId="5" xfId="4" applyNumberFormat="1" applyFont="1" applyFill="1" applyBorder="1" applyAlignment="1">
      <alignment horizontal="left" vertical="center"/>
    </xf>
    <xf numFmtId="8" fontId="21" fillId="5" borderId="5" xfId="4" applyNumberFormat="1" applyFont="1" applyFill="1" applyBorder="1" applyAlignment="1">
      <alignment horizontal="left" vertical="center"/>
    </xf>
    <xf numFmtId="9" fontId="21" fillId="5" borderId="5" xfId="3" applyNumberFormat="1" applyFont="1" applyFill="1" applyBorder="1" applyAlignment="1">
      <alignment horizontal="left" vertical="center"/>
    </xf>
    <xf numFmtId="6" fontId="23" fillId="6" borderId="5" xfId="4" applyNumberFormat="1" applyFont="1" applyFill="1" applyBorder="1" applyAlignment="1">
      <alignment horizontal="center" vertical="center"/>
    </xf>
    <xf numFmtId="6" fontId="21" fillId="6" borderId="5" xfId="4" applyNumberFormat="1" applyFont="1" applyFill="1" applyBorder="1" applyAlignment="1">
      <alignment horizontal="left" vertical="center"/>
    </xf>
    <xf numFmtId="8" fontId="21" fillId="6" borderId="5" xfId="4" applyNumberFormat="1" applyFont="1" applyFill="1" applyBorder="1" applyAlignment="1">
      <alignment horizontal="left" vertical="center"/>
    </xf>
    <xf numFmtId="9" fontId="21" fillId="6" borderId="5" xfId="3" applyNumberFormat="1" applyFont="1" applyFill="1" applyBorder="1" applyAlignment="1">
      <alignment horizontal="left" vertical="center"/>
    </xf>
    <xf numFmtId="6" fontId="21" fillId="0" borderId="6" xfId="2" applyNumberFormat="1" applyFont="1" applyBorder="1" applyAlignment="1">
      <alignment horizontal="left" vertical="center"/>
    </xf>
    <xf numFmtId="6" fontId="21" fillId="0" borderId="0" xfId="2" applyNumberFormat="1" applyFont="1" applyAlignment="1">
      <alignment horizontal="right" vertical="center"/>
    </xf>
    <xf numFmtId="6" fontId="21" fillId="2" borderId="0" xfId="4" applyNumberFormat="1" applyFont="1" applyFill="1" applyBorder="1" applyAlignment="1">
      <alignment horizontal="center" vertical="center"/>
    </xf>
    <xf numFmtId="6" fontId="21" fillId="2" borderId="0" xfId="4" applyNumberFormat="1" applyFont="1" applyFill="1" applyBorder="1" applyAlignment="1">
      <alignment horizontal="left" vertical="center"/>
    </xf>
    <xf numFmtId="8" fontId="21" fillId="2" borderId="0" xfId="4" applyNumberFormat="1" applyFont="1" applyFill="1" applyBorder="1" applyAlignment="1">
      <alignment horizontal="left" vertical="center"/>
    </xf>
    <xf numFmtId="168" fontId="21" fillId="2" borderId="0" xfId="4" applyNumberFormat="1" applyFont="1" applyFill="1" applyBorder="1" applyAlignment="1">
      <alignment horizontal="left" vertical="center"/>
    </xf>
    <xf numFmtId="6" fontId="21" fillId="3" borderId="0" xfId="4" applyNumberFormat="1" applyFont="1" applyFill="1" applyBorder="1" applyAlignment="1">
      <alignment horizontal="center" vertical="center"/>
    </xf>
    <xf numFmtId="6" fontId="21" fillId="3" borderId="0" xfId="4" applyNumberFormat="1" applyFont="1" applyFill="1" applyBorder="1" applyAlignment="1">
      <alignment horizontal="left" vertical="center"/>
    </xf>
    <xf numFmtId="8" fontId="21" fillId="3" borderId="0" xfId="4" applyNumberFormat="1" applyFont="1" applyFill="1" applyBorder="1" applyAlignment="1">
      <alignment horizontal="left" vertical="center"/>
    </xf>
    <xf numFmtId="168" fontId="21" fillId="3" borderId="0" xfId="4" applyNumberFormat="1" applyFont="1" applyFill="1" applyBorder="1" applyAlignment="1">
      <alignment horizontal="left" vertical="center"/>
    </xf>
    <xf numFmtId="6" fontId="21" fillId="4" borderId="0" xfId="4" applyNumberFormat="1" applyFont="1" applyFill="1" applyBorder="1" applyAlignment="1">
      <alignment horizontal="center" vertical="center"/>
    </xf>
    <xf numFmtId="168" fontId="21" fillId="4" borderId="0" xfId="4" applyNumberFormat="1" applyFont="1" applyFill="1" applyBorder="1" applyAlignment="1">
      <alignment horizontal="left" vertical="center"/>
    </xf>
    <xf numFmtId="6" fontId="21" fillId="5" borderId="0" xfId="4" applyNumberFormat="1" applyFont="1" applyFill="1" applyBorder="1" applyAlignment="1">
      <alignment horizontal="center" vertical="center"/>
    </xf>
    <xf numFmtId="6" fontId="21" fillId="5" borderId="0" xfId="4" applyNumberFormat="1" applyFont="1" applyFill="1" applyBorder="1" applyAlignment="1">
      <alignment horizontal="left" vertical="center"/>
    </xf>
    <xf numFmtId="8" fontId="21" fillId="5" borderId="0" xfId="4" applyNumberFormat="1" applyFont="1" applyFill="1" applyBorder="1" applyAlignment="1">
      <alignment horizontal="left" vertical="center"/>
    </xf>
    <xf numFmtId="168" fontId="21" fillId="5" borderId="0" xfId="4" applyNumberFormat="1" applyFont="1" applyFill="1" applyBorder="1" applyAlignment="1">
      <alignment horizontal="left" vertical="center"/>
    </xf>
    <xf numFmtId="6" fontId="21" fillId="6" borderId="0" xfId="4" applyNumberFormat="1" applyFont="1" applyFill="1" applyBorder="1" applyAlignment="1">
      <alignment horizontal="center" vertical="center"/>
    </xf>
    <xf numFmtId="6" fontId="21" fillId="6" borderId="0" xfId="4" applyNumberFormat="1" applyFont="1" applyFill="1" applyBorder="1" applyAlignment="1">
      <alignment horizontal="left" vertical="center"/>
    </xf>
    <xf numFmtId="8" fontId="21" fillId="6" borderId="0" xfId="4" applyNumberFormat="1" applyFont="1" applyFill="1" applyBorder="1" applyAlignment="1">
      <alignment horizontal="left" vertical="center"/>
    </xf>
    <xf numFmtId="168" fontId="21" fillId="6" borderId="0" xfId="4" applyNumberFormat="1" applyFont="1" applyFill="1" applyBorder="1" applyAlignment="1">
      <alignment horizontal="left" vertical="center"/>
    </xf>
    <xf numFmtId="6" fontId="18" fillId="2" borderId="0" xfId="4" applyNumberFormat="1" applyFont="1" applyFill="1" applyBorder="1" applyAlignment="1">
      <alignment horizontal="center" vertical="center"/>
    </xf>
    <xf numFmtId="168" fontId="20" fillId="2" borderId="0" xfId="2" applyNumberFormat="1" applyFont="1" applyFill="1" applyAlignment="1">
      <alignment horizontal="left" vertical="center"/>
    </xf>
    <xf numFmtId="6" fontId="18" fillId="3" borderId="0" xfId="4" applyNumberFormat="1" applyFont="1" applyFill="1" applyBorder="1" applyAlignment="1">
      <alignment horizontal="center" vertical="center"/>
    </xf>
    <xf numFmtId="168" fontId="20" fillId="3" borderId="0" xfId="2" applyNumberFormat="1" applyFont="1" applyFill="1" applyAlignment="1">
      <alignment horizontal="left" vertical="center"/>
    </xf>
    <xf numFmtId="6" fontId="18" fillId="4" borderId="0" xfId="4" applyNumberFormat="1" applyFont="1" applyFill="1" applyBorder="1" applyAlignment="1">
      <alignment horizontal="center" vertical="center"/>
    </xf>
    <xf numFmtId="168" fontId="20" fillId="4" borderId="0" xfId="2" applyNumberFormat="1" applyFont="1" applyFill="1" applyAlignment="1">
      <alignment horizontal="left" vertical="center"/>
    </xf>
    <xf numFmtId="6" fontId="18" fillId="5" borderId="0" xfId="4" applyNumberFormat="1" applyFont="1" applyFill="1" applyBorder="1" applyAlignment="1">
      <alignment horizontal="center" vertical="center"/>
    </xf>
    <xf numFmtId="168" fontId="20" fillId="5" borderId="0" xfId="2" applyNumberFormat="1" applyFont="1" applyFill="1" applyAlignment="1">
      <alignment horizontal="left" vertical="center"/>
    </xf>
    <xf numFmtId="6" fontId="18" fillId="6" borderId="0" xfId="4" applyNumberFormat="1" applyFont="1" applyFill="1" applyBorder="1" applyAlignment="1">
      <alignment horizontal="center" vertical="center"/>
    </xf>
    <xf numFmtId="168" fontId="20" fillId="6" borderId="0" xfId="2" applyNumberFormat="1" applyFont="1" applyFill="1" applyAlignment="1">
      <alignment horizontal="left" vertical="center"/>
    </xf>
    <xf numFmtId="6" fontId="24" fillId="0" borderId="0" xfId="2" applyNumberFormat="1" applyFont="1" applyAlignment="1">
      <alignment horizontal="left" vertical="center"/>
    </xf>
    <xf numFmtId="166" fontId="20" fillId="2" borderId="0" xfId="3" applyNumberFormat="1" applyFont="1" applyFill="1" applyBorder="1" applyAlignment="1">
      <alignment horizontal="left" vertical="center"/>
    </xf>
    <xf numFmtId="166" fontId="20" fillId="3" borderId="0" xfId="3" applyNumberFormat="1" applyFont="1" applyFill="1" applyBorder="1" applyAlignment="1">
      <alignment horizontal="left" vertical="center"/>
    </xf>
    <xf numFmtId="166" fontId="20" fillId="4" borderId="0" xfId="3" applyNumberFormat="1" applyFont="1" applyFill="1" applyBorder="1" applyAlignment="1">
      <alignment horizontal="left" vertical="center"/>
    </xf>
    <xf numFmtId="166" fontId="20" fillId="5" borderId="0" xfId="3" applyNumberFormat="1" applyFont="1" applyFill="1" applyBorder="1" applyAlignment="1">
      <alignment horizontal="left" vertical="center"/>
    </xf>
    <xf numFmtId="166" fontId="20" fillId="6" borderId="0" xfId="3" applyNumberFormat="1" applyFont="1" applyFill="1" applyBorder="1" applyAlignment="1">
      <alignment horizontal="left" vertical="center"/>
    </xf>
    <xf numFmtId="6" fontId="22" fillId="3" borderId="0" xfId="4" applyNumberFormat="1" applyFont="1" applyFill="1" applyBorder="1" applyAlignment="1">
      <alignment horizontal="center" vertical="center"/>
    </xf>
    <xf numFmtId="6" fontId="22" fillId="6" borderId="0" xfId="4" applyNumberFormat="1" applyFont="1" applyFill="1" applyBorder="1" applyAlignment="1">
      <alignment horizontal="center" vertical="center"/>
    </xf>
    <xf numFmtId="6" fontId="21" fillId="2" borderId="5" xfId="4" applyNumberFormat="1" applyFont="1" applyFill="1" applyBorder="1" applyAlignment="1">
      <alignment horizontal="center" vertical="center"/>
    </xf>
    <xf numFmtId="6" fontId="21" fillId="2" borderId="5" xfId="2" applyNumberFormat="1" applyFont="1" applyFill="1" applyBorder="1" applyAlignment="1">
      <alignment horizontal="left" vertical="center"/>
    </xf>
    <xf numFmtId="8" fontId="21" fillId="2" borderId="5" xfId="2" applyNumberFormat="1" applyFont="1" applyFill="1" applyBorder="1" applyAlignment="1">
      <alignment horizontal="left" vertical="center"/>
    </xf>
    <xf numFmtId="166" fontId="21" fillId="2" borderId="5" xfId="3" applyNumberFormat="1" applyFont="1" applyFill="1" applyBorder="1" applyAlignment="1">
      <alignment horizontal="left" vertical="center"/>
    </xf>
    <xf numFmtId="6" fontId="21" fillId="3" borderId="5" xfId="4" applyNumberFormat="1" applyFont="1" applyFill="1" applyBorder="1" applyAlignment="1">
      <alignment horizontal="center" vertical="center"/>
    </xf>
    <xf numFmtId="6" fontId="21" fillId="3" borderId="5" xfId="2" applyNumberFormat="1" applyFont="1" applyFill="1" applyBorder="1" applyAlignment="1">
      <alignment horizontal="left" vertical="center"/>
    </xf>
    <xf numFmtId="8" fontId="21" fillId="3" borderId="5" xfId="2" applyNumberFormat="1" applyFont="1" applyFill="1" applyBorder="1" applyAlignment="1">
      <alignment horizontal="left" vertical="center"/>
    </xf>
    <xf numFmtId="166" fontId="21" fillId="3" borderId="5" xfId="3" applyNumberFormat="1" applyFont="1" applyFill="1" applyBorder="1" applyAlignment="1">
      <alignment horizontal="left" vertical="center"/>
    </xf>
    <xf numFmtId="6" fontId="21" fillId="4" borderId="5" xfId="4" applyNumberFormat="1" applyFont="1" applyFill="1" applyBorder="1" applyAlignment="1">
      <alignment horizontal="center" vertical="center"/>
    </xf>
    <xf numFmtId="6" fontId="21" fillId="4" borderId="5" xfId="2" applyNumberFormat="1" applyFont="1" applyFill="1" applyBorder="1" applyAlignment="1">
      <alignment horizontal="left" vertical="center"/>
    </xf>
    <xf numFmtId="166" fontId="21" fillId="4" borderId="5" xfId="3" applyNumberFormat="1" applyFont="1" applyFill="1" applyBorder="1" applyAlignment="1">
      <alignment horizontal="left" vertical="center"/>
    </xf>
    <xf numFmtId="6" fontId="21" fillId="5" borderId="5" xfId="4" applyNumberFormat="1" applyFont="1" applyFill="1" applyBorder="1" applyAlignment="1">
      <alignment horizontal="center" vertical="center"/>
    </xf>
    <xf numFmtId="6" fontId="21" fillId="5" borderId="5" xfId="2" applyNumberFormat="1" applyFont="1" applyFill="1" applyBorder="1" applyAlignment="1">
      <alignment horizontal="left" vertical="center"/>
    </xf>
    <xf numFmtId="8" fontId="21" fillId="5" borderId="5" xfId="2" applyNumberFormat="1" applyFont="1" applyFill="1" applyBorder="1" applyAlignment="1">
      <alignment horizontal="left" vertical="center"/>
    </xf>
    <xf numFmtId="166" fontId="21" fillId="5" borderId="5" xfId="3" applyNumberFormat="1" applyFont="1" applyFill="1" applyBorder="1" applyAlignment="1">
      <alignment horizontal="left" vertical="center"/>
    </xf>
    <xf numFmtId="6" fontId="21" fillId="6" borderId="5" xfId="4" applyNumberFormat="1" applyFont="1" applyFill="1" applyBorder="1" applyAlignment="1">
      <alignment horizontal="center" vertical="center"/>
    </xf>
    <xf numFmtId="6" fontId="21" fillId="6" borderId="5" xfId="2" applyNumberFormat="1" applyFont="1" applyFill="1" applyBorder="1" applyAlignment="1">
      <alignment horizontal="left" vertical="center"/>
    </xf>
    <xf numFmtId="8" fontId="21" fillId="6" borderId="5" xfId="2" applyNumberFormat="1" applyFont="1" applyFill="1" applyBorder="1" applyAlignment="1">
      <alignment horizontal="left" vertical="center"/>
    </xf>
    <xf numFmtId="166" fontId="21" fillId="6" borderId="5" xfId="3" applyNumberFormat="1" applyFont="1" applyFill="1" applyBorder="1" applyAlignment="1">
      <alignment horizontal="left" vertical="center"/>
    </xf>
    <xf numFmtId="168" fontId="20" fillId="0" borderId="0" xfId="3" applyNumberFormat="1" applyFont="1" applyBorder="1" applyAlignment="1">
      <alignment horizontal="left" vertical="center"/>
    </xf>
    <xf numFmtId="6" fontId="20" fillId="0" borderId="0" xfId="2" applyNumberFormat="1" applyFont="1" applyAlignment="1">
      <alignment horizontal="right" vertical="center"/>
    </xf>
    <xf numFmtId="6" fontId="20" fillId="0" borderId="6" xfId="2" applyNumberFormat="1" applyFont="1" applyBorder="1" applyAlignment="1">
      <alignment horizontal="right" vertical="center"/>
    </xf>
    <xf numFmtId="6" fontId="20" fillId="0" borderId="0" xfId="2" applyNumberFormat="1" applyFont="1" applyAlignment="1">
      <alignment horizontal="right" vertical="top"/>
    </xf>
    <xf numFmtId="6" fontId="20" fillId="0" borderId="0" xfId="3" applyNumberFormat="1" applyFont="1" applyBorder="1" applyAlignment="1">
      <alignment horizontal="left" vertical="center"/>
    </xf>
    <xf numFmtId="6" fontId="20" fillId="2" borderId="0" xfId="3" applyNumberFormat="1" applyFont="1" applyFill="1" applyBorder="1" applyAlignment="1">
      <alignment horizontal="center" vertical="top"/>
    </xf>
    <xf numFmtId="6" fontId="20" fillId="2" borderId="0" xfId="3" applyNumberFormat="1" applyFont="1" applyFill="1" applyBorder="1" applyAlignment="1">
      <alignment horizontal="left" vertical="center"/>
    </xf>
    <xf numFmtId="8" fontId="20" fillId="2" borderId="0" xfId="3" applyNumberFormat="1" applyFont="1" applyFill="1" applyBorder="1" applyAlignment="1">
      <alignment horizontal="left" vertical="center"/>
    </xf>
    <xf numFmtId="6" fontId="20" fillId="3" borderId="0" xfId="3" applyNumberFormat="1" applyFont="1" applyFill="1" applyBorder="1" applyAlignment="1">
      <alignment horizontal="center" vertical="top"/>
    </xf>
    <xf numFmtId="6" fontId="20" fillId="3" borderId="0" xfId="3" applyNumberFormat="1" applyFont="1" applyFill="1" applyBorder="1" applyAlignment="1">
      <alignment horizontal="left" vertical="center"/>
    </xf>
    <xf numFmtId="8" fontId="20" fillId="3" borderId="0" xfId="3" applyNumberFormat="1" applyFont="1" applyFill="1" applyBorder="1" applyAlignment="1">
      <alignment horizontal="left" vertical="center"/>
    </xf>
    <xf numFmtId="6" fontId="20" fillId="0" borderId="0" xfId="3" applyNumberFormat="1" applyFont="1" applyFill="1" applyBorder="1" applyAlignment="1">
      <alignment horizontal="left" vertical="center"/>
    </xf>
    <xf numFmtId="6" fontId="20" fillId="4" borderId="0" xfId="3" applyNumberFormat="1" applyFont="1" applyFill="1" applyBorder="1" applyAlignment="1">
      <alignment horizontal="center" vertical="top"/>
    </xf>
    <xf numFmtId="6" fontId="20" fillId="4" borderId="0" xfId="3" applyNumberFormat="1" applyFont="1" applyFill="1" applyBorder="1" applyAlignment="1">
      <alignment horizontal="left" vertical="center"/>
    </xf>
    <xf numFmtId="6" fontId="20" fillId="5" borderId="0" xfId="3" applyNumberFormat="1" applyFont="1" applyFill="1" applyBorder="1" applyAlignment="1">
      <alignment horizontal="center" vertical="top"/>
    </xf>
    <xf numFmtId="6" fontId="20" fillId="5" borderId="0" xfId="3" applyNumberFormat="1" applyFont="1" applyFill="1" applyBorder="1" applyAlignment="1">
      <alignment horizontal="left" vertical="center"/>
    </xf>
    <xf numFmtId="8" fontId="20" fillId="5" borderId="0" xfId="3" applyNumberFormat="1" applyFont="1" applyFill="1" applyBorder="1" applyAlignment="1">
      <alignment horizontal="left" vertical="center"/>
    </xf>
    <xf numFmtId="6" fontId="20" fillId="6" borderId="0" xfId="3" applyNumberFormat="1" applyFont="1" applyFill="1" applyBorder="1" applyAlignment="1">
      <alignment horizontal="center" vertical="top"/>
    </xf>
    <xf numFmtId="6" fontId="20" fillId="6" borderId="0" xfId="3" applyNumberFormat="1" applyFont="1" applyFill="1" applyBorder="1" applyAlignment="1">
      <alignment horizontal="left" vertical="center"/>
    </xf>
    <xf numFmtId="8" fontId="20" fillId="6" borderId="0" xfId="3" applyNumberFormat="1" applyFont="1" applyFill="1" applyBorder="1" applyAlignment="1">
      <alignment horizontal="left" vertical="center"/>
    </xf>
    <xf numFmtId="166" fontId="20" fillId="2" borderId="0" xfId="2" applyNumberFormat="1" applyFont="1" applyFill="1" applyAlignment="1">
      <alignment horizontal="left" vertical="center"/>
    </xf>
    <xf numFmtId="166" fontId="20" fillId="3" borderId="0" xfId="2" applyNumberFormat="1" applyFont="1" applyFill="1" applyAlignment="1">
      <alignment horizontal="left" vertical="center"/>
    </xf>
    <xf numFmtId="166" fontId="20" fillId="4" borderId="0" xfId="2" applyNumberFormat="1" applyFont="1" applyFill="1" applyAlignment="1">
      <alignment horizontal="left" vertical="center"/>
    </xf>
    <xf numFmtId="166" fontId="20" fillId="5" borderId="0" xfId="2" applyNumberFormat="1" applyFont="1" applyFill="1" applyAlignment="1">
      <alignment horizontal="left" vertical="center"/>
    </xf>
    <xf numFmtId="166" fontId="20" fillId="6" borderId="0" xfId="2" applyNumberFormat="1" applyFont="1" applyFill="1" applyAlignment="1">
      <alignment horizontal="left" vertical="center"/>
    </xf>
    <xf numFmtId="6" fontId="18" fillId="0" borderId="0" xfId="2" applyNumberFormat="1" applyFont="1" applyAlignment="1">
      <alignment horizontal="right" vertical="center"/>
    </xf>
    <xf numFmtId="6" fontId="19" fillId="2" borderId="5" xfId="4" applyNumberFormat="1" applyFont="1" applyFill="1" applyBorder="1" applyAlignment="1">
      <alignment horizontal="center" vertical="center"/>
    </xf>
    <xf numFmtId="6" fontId="19" fillId="3" borderId="5" xfId="4" applyNumberFormat="1" applyFont="1" applyFill="1" applyBorder="1" applyAlignment="1">
      <alignment horizontal="center" vertical="center"/>
    </xf>
    <xf numFmtId="6" fontId="19" fillId="4" borderId="5" xfId="4" applyNumberFormat="1" applyFont="1" applyFill="1" applyBorder="1" applyAlignment="1">
      <alignment horizontal="center" vertical="center"/>
    </xf>
    <xf numFmtId="6" fontId="19" fillId="5" borderId="5" xfId="4" applyNumberFormat="1" applyFont="1" applyFill="1" applyBorder="1" applyAlignment="1">
      <alignment horizontal="center" vertical="center"/>
    </xf>
    <xf numFmtId="6" fontId="19" fillId="6" borderId="5" xfId="4" applyNumberFormat="1" applyFont="1" applyFill="1" applyBorder="1" applyAlignment="1">
      <alignment horizontal="center" vertical="center"/>
    </xf>
    <xf numFmtId="168" fontId="20" fillId="0" borderId="0" xfId="3" applyNumberFormat="1" applyFont="1" applyFill="1" applyBorder="1" applyAlignment="1">
      <alignment horizontal="left" vertical="center"/>
    </xf>
    <xf numFmtId="0" fontId="20" fillId="0" borderId="0" xfId="2" applyFont="1" applyAlignment="1">
      <alignment horizontal="centerContinuous"/>
    </xf>
    <xf numFmtId="6" fontId="18" fillId="9" borderId="0" xfId="2" applyNumberFormat="1" applyFont="1" applyFill="1" applyAlignment="1">
      <alignment horizontal="left" vertical="center"/>
    </xf>
    <xf numFmtId="6" fontId="18" fillId="9" borderId="6" xfId="2" applyNumberFormat="1" applyFont="1" applyFill="1" applyBorder="1" applyAlignment="1">
      <alignment horizontal="left" vertical="center"/>
    </xf>
    <xf numFmtId="6" fontId="19" fillId="9" borderId="0" xfId="2" applyNumberFormat="1" applyFont="1" applyFill="1" applyAlignment="1">
      <alignment horizontal="left" vertical="center"/>
    </xf>
    <xf numFmtId="6" fontId="21" fillId="9" borderId="0" xfId="4" applyNumberFormat="1" applyFont="1" applyFill="1" applyBorder="1" applyAlignment="1">
      <alignment horizontal="left" vertical="center"/>
    </xf>
    <xf numFmtId="6" fontId="19" fillId="9" borderId="9" xfId="4" applyNumberFormat="1" applyFont="1" applyFill="1" applyBorder="1" applyAlignment="1">
      <alignment horizontal="center" vertical="center"/>
    </xf>
    <xf numFmtId="6" fontId="21" fillId="9" borderId="9" xfId="4" applyNumberFormat="1" applyFont="1" applyFill="1" applyBorder="1" applyAlignment="1">
      <alignment horizontal="left" vertical="center"/>
    </xf>
    <xf numFmtId="8" fontId="21" fillId="9" borderId="9" xfId="4" applyNumberFormat="1" applyFont="1" applyFill="1" applyBorder="1" applyAlignment="1">
      <alignment horizontal="left" vertical="center"/>
    </xf>
    <xf numFmtId="166" fontId="21" fillId="9" borderId="9" xfId="3" applyNumberFormat="1" applyFont="1" applyFill="1" applyBorder="1" applyAlignment="1">
      <alignment horizontal="left" vertical="center"/>
    </xf>
    <xf numFmtId="9" fontId="20" fillId="0" borderId="0" xfId="3" applyNumberFormat="1" applyFont="1" applyBorder="1" applyAlignment="1">
      <alignment horizontal="left" vertical="center"/>
    </xf>
    <xf numFmtId="6" fontId="19" fillId="0" borderId="6" xfId="2" applyNumberFormat="1" applyFont="1" applyBorder="1" applyAlignment="1">
      <alignment horizontal="center" vertical="center"/>
    </xf>
    <xf numFmtId="9" fontId="25" fillId="0" borderId="6" xfId="3" applyNumberFormat="1" applyFont="1" applyFill="1" applyBorder="1" applyAlignment="1">
      <alignment horizontal="center" vertical="center"/>
    </xf>
    <xf numFmtId="6" fontId="19" fillId="2" borderId="9" xfId="4" applyNumberFormat="1" applyFont="1" applyFill="1" applyBorder="1" applyAlignment="1">
      <alignment horizontal="center" vertical="center"/>
    </xf>
    <xf numFmtId="6" fontId="21" fillId="2" borderId="9" xfId="4" applyNumberFormat="1" applyFont="1" applyFill="1" applyBorder="1" applyAlignment="1">
      <alignment horizontal="left" vertical="center"/>
    </xf>
    <xf numFmtId="8" fontId="21" fillId="2" borderId="9" xfId="4" applyNumberFormat="1" applyFont="1" applyFill="1" applyBorder="1" applyAlignment="1">
      <alignment horizontal="left" vertical="center"/>
    </xf>
    <xf numFmtId="166" fontId="21" fillId="2" borderId="9" xfId="3" applyNumberFormat="1" applyFont="1" applyFill="1" applyBorder="1" applyAlignment="1">
      <alignment horizontal="left" vertical="center"/>
    </xf>
    <xf numFmtId="6" fontId="19" fillId="3" borderId="9" xfId="4" applyNumberFormat="1" applyFont="1" applyFill="1" applyBorder="1" applyAlignment="1">
      <alignment horizontal="center" vertical="center"/>
    </xf>
    <xf numFmtId="6" fontId="21" fillId="3" borderId="9" xfId="4" applyNumberFormat="1" applyFont="1" applyFill="1" applyBorder="1" applyAlignment="1">
      <alignment horizontal="left" vertical="center"/>
    </xf>
    <xf numFmtId="8" fontId="21" fillId="3" borderId="9" xfId="4" applyNumberFormat="1" applyFont="1" applyFill="1" applyBorder="1" applyAlignment="1">
      <alignment horizontal="left" vertical="center"/>
    </xf>
    <xf numFmtId="166" fontId="21" fillId="3" borderId="9" xfId="3" applyNumberFormat="1" applyFont="1" applyFill="1" applyBorder="1" applyAlignment="1">
      <alignment horizontal="left" vertical="center"/>
    </xf>
    <xf numFmtId="6" fontId="19" fillId="4" borderId="9" xfId="4" applyNumberFormat="1" applyFont="1" applyFill="1" applyBorder="1" applyAlignment="1">
      <alignment horizontal="center" vertical="center"/>
    </xf>
    <xf numFmtId="6" fontId="21" fillId="4" borderId="9" xfId="4" applyNumberFormat="1" applyFont="1" applyFill="1" applyBorder="1" applyAlignment="1">
      <alignment horizontal="left" vertical="center"/>
    </xf>
    <xf numFmtId="166" fontId="21" fillId="4" borderId="9" xfId="3" applyNumberFormat="1" applyFont="1" applyFill="1" applyBorder="1" applyAlignment="1">
      <alignment horizontal="left" vertical="center"/>
    </xf>
    <xf numFmtId="6" fontId="19" fillId="5" borderId="9" xfId="4" applyNumberFormat="1" applyFont="1" applyFill="1" applyBorder="1" applyAlignment="1">
      <alignment horizontal="center" vertical="center"/>
    </xf>
    <xf numFmtId="6" fontId="21" fillId="5" borderId="9" xfId="4" applyNumberFormat="1" applyFont="1" applyFill="1" applyBorder="1" applyAlignment="1">
      <alignment horizontal="left" vertical="center"/>
    </xf>
    <xf numFmtId="8" fontId="21" fillId="5" borderId="9" xfId="4" applyNumberFormat="1" applyFont="1" applyFill="1" applyBorder="1" applyAlignment="1">
      <alignment horizontal="left" vertical="center"/>
    </xf>
    <xf numFmtId="166" fontId="21" fillId="5" borderId="9" xfId="3" applyNumberFormat="1" applyFont="1" applyFill="1" applyBorder="1" applyAlignment="1">
      <alignment horizontal="left" vertical="center"/>
    </xf>
    <xf numFmtId="6" fontId="19" fillId="6" borderId="9" xfId="4" applyNumberFormat="1" applyFont="1" applyFill="1" applyBorder="1" applyAlignment="1">
      <alignment horizontal="center" vertical="center"/>
    </xf>
    <xf numFmtId="6" fontId="21" fillId="6" borderId="9" xfId="4" applyNumberFormat="1" applyFont="1" applyFill="1" applyBorder="1" applyAlignment="1">
      <alignment horizontal="left" vertical="center"/>
    </xf>
    <xf numFmtId="8" fontId="21" fillId="6" borderId="9" xfId="4" applyNumberFormat="1" applyFont="1" applyFill="1" applyBorder="1" applyAlignment="1">
      <alignment horizontal="left" vertical="center"/>
    </xf>
    <xf numFmtId="166" fontId="21" fillId="6" borderId="9" xfId="3" applyNumberFormat="1" applyFont="1" applyFill="1" applyBorder="1" applyAlignment="1">
      <alignment horizontal="left" vertical="center"/>
    </xf>
    <xf numFmtId="6" fontId="18" fillId="10" borderId="0" xfId="2" applyNumberFormat="1" applyFont="1" applyFill="1" applyAlignment="1">
      <alignment horizontal="left" vertical="center"/>
    </xf>
    <xf numFmtId="6" fontId="18" fillId="10" borderId="6" xfId="2" applyNumberFormat="1" applyFont="1" applyFill="1" applyBorder="1" applyAlignment="1">
      <alignment horizontal="left" vertical="center"/>
    </xf>
    <xf numFmtId="6" fontId="19" fillId="10" borderId="0" xfId="2" applyNumberFormat="1" applyFont="1" applyFill="1" applyAlignment="1">
      <alignment horizontal="center" vertical="center"/>
    </xf>
    <xf numFmtId="6" fontId="21" fillId="10" borderId="0" xfId="4" applyNumberFormat="1" applyFont="1" applyFill="1" applyBorder="1" applyAlignment="1">
      <alignment horizontal="left" vertical="center"/>
    </xf>
    <xf numFmtId="6" fontId="19" fillId="10" borderId="10" xfId="4" applyNumberFormat="1" applyFont="1" applyFill="1" applyBorder="1" applyAlignment="1">
      <alignment horizontal="center" vertical="center"/>
    </xf>
    <xf numFmtId="6" fontId="21" fillId="10" borderId="10" xfId="4" applyNumberFormat="1" applyFont="1" applyFill="1" applyBorder="1" applyAlignment="1">
      <alignment horizontal="left" vertical="center"/>
    </xf>
    <xf numFmtId="8" fontId="21" fillId="10" borderId="10" xfId="4" applyNumberFormat="1" applyFont="1" applyFill="1" applyBorder="1" applyAlignment="1">
      <alignment horizontal="left" vertical="center"/>
    </xf>
    <xf numFmtId="166" fontId="21" fillId="10" borderId="10" xfId="3" applyNumberFormat="1" applyFont="1" applyFill="1" applyBorder="1" applyAlignment="1">
      <alignment horizontal="left" vertical="center"/>
    </xf>
    <xf numFmtId="6" fontId="20" fillId="0" borderId="0" xfId="2" applyNumberFormat="1" applyFont="1" applyAlignment="1">
      <alignment horizontal="center" vertical="center"/>
    </xf>
    <xf numFmtId="6" fontId="19" fillId="2" borderId="0" xfId="4" applyNumberFormat="1" applyFont="1" applyFill="1" applyBorder="1" applyAlignment="1">
      <alignment horizontal="center" vertical="center"/>
    </xf>
    <xf numFmtId="166" fontId="21" fillId="2" borderId="0" xfId="3" applyNumberFormat="1" applyFont="1" applyFill="1" applyBorder="1" applyAlignment="1">
      <alignment horizontal="left" vertical="center"/>
    </xf>
    <xf numFmtId="6" fontId="19" fillId="3" borderId="0" xfId="4" applyNumberFormat="1" applyFont="1" applyFill="1" applyBorder="1" applyAlignment="1">
      <alignment horizontal="center" vertical="center"/>
    </xf>
    <xf numFmtId="166" fontId="21" fillId="3" borderId="0" xfId="3" applyNumberFormat="1" applyFont="1" applyFill="1" applyBorder="1" applyAlignment="1">
      <alignment horizontal="left" vertical="center"/>
    </xf>
    <xf numFmtId="6" fontId="19" fillId="4" borderId="0" xfId="4" applyNumberFormat="1" applyFont="1" applyFill="1" applyBorder="1" applyAlignment="1">
      <alignment horizontal="center" vertical="center"/>
    </xf>
    <xf numFmtId="166" fontId="21" fillId="4" borderId="0" xfId="3" applyNumberFormat="1" applyFont="1" applyFill="1" applyBorder="1" applyAlignment="1">
      <alignment horizontal="left" vertical="center"/>
    </xf>
    <xf numFmtId="6" fontId="19" fillId="5" borderId="0" xfId="4" applyNumberFormat="1" applyFont="1" applyFill="1" applyBorder="1" applyAlignment="1">
      <alignment horizontal="center" vertical="center"/>
    </xf>
    <xf numFmtId="166" fontId="21" fillId="5" borderId="0" xfId="3" applyNumberFormat="1" applyFont="1" applyFill="1" applyBorder="1" applyAlignment="1">
      <alignment horizontal="left" vertical="center"/>
    </xf>
    <xf numFmtId="6" fontId="19" fillId="6" borderId="0" xfId="4" applyNumberFormat="1" applyFont="1" applyFill="1" applyBorder="1" applyAlignment="1">
      <alignment horizontal="center" vertical="center"/>
    </xf>
    <xf numFmtId="166" fontId="21" fillId="6" borderId="0" xfId="3" applyNumberFormat="1" applyFont="1" applyFill="1" applyBorder="1" applyAlignment="1">
      <alignment horizontal="left" vertical="center"/>
    </xf>
    <xf numFmtId="6" fontId="18" fillId="8" borderId="0" xfId="2" applyNumberFormat="1" applyFont="1" applyFill="1" applyAlignment="1">
      <alignment horizontal="left" vertical="center"/>
    </xf>
    <xf numFmtId="6" fontId="18" fillId="8" borderId="6" xfId="2" applyNumberFormat="1" applyFont="1" applyFill="1" applyBorder="1" applyAlignment="1">
      <alignment horizontal="left" vertical="center"/>
    </xf>
    <xf numFmtId="6" fontId="19" fillId="8" borderId="0" xfId="2" applyNumberFormat="1" applyFont="1" applyFill="1" applyAlignment="1">
      <alignment horizontal="center" vertical="center"/>
    </xf>
    <xf numFmtId="6" fontId="21" fillId="8" borderId="0" xfId="4" applyNumberFormat="1" applyFont="1" applyFill="1" applyBorder="1" applyAlignment="1">
      <alignment horizontal="left" vertical="center"/>
    </xf>
    <xf numFmtId="6" fontId="19" fillId="8" borderId="10" xfId="4" applyNumberFormat="1" applyFont="1" applyFill="1" applyBorder="1" applyAlignment="1">
      <alignment horizontal="center" vertical="center"/>
    </xf>
    <xf numFmtId="6" fontId="21" fillId="8" borderId="10" xfId="4" applyNumberFormat="1" applyFont="1" applyFill="1" applyBorder="1" applyAlignment="1">
      <alignment horizontal="left" vertical="center"/>
    </xf>
    <xf numFmtId="8" fontId="21" fillId="8" borderId="10" xfId="4" applyNumberFormat="1" applyFont="1" applyFill="1" applyBorder="1" applyAlignment="1">
      <alignment horizontal="left" vertical="center"/>
    </xf>
    <xf numFmtId="166" fontId="21" fillId="8" borderId="10" xfId="3" applyNumberFormat="1" applyFont="1" applyFill="1" applyBorder="1" applyAlignment="1">
      <alignment horizontal="left" vertical="center"/>
    </xf>
    <xf numFmtId="6" fontId="26" fillId="0" borderId="0" xfId="2" applyNumberFormat="1" applyFont="1" applyAlignment="1">
      <alignment horizontal="left" vertical="center"/>
    </xf>
    <xf numFmtId="6" fontId="26" fillId="0" borderId="6" xfId="2" applyNumberFormat="1" applyFont="1" applyBorder="1" applyAlignment="1">
      <alignment horizontal="left" vertical="center"/>
    </xf>
    <xf numFmtId="6" fontId="16" fillId="0" borderId="0" xfId="2" applyNumberFormat="1" applyFont="1" applyAlignment="1">
      <alignment horizontal="center" vertical="center" wrapText="1"/>
    </xf>
    <xf numFmtId="0" fontId="26" fillId="0" borderId="0" xfId="2" applyFont="1" applyAlignment="1">
      <alignment horizontal="centerContinuous"/>
    </xf>
    <xf numFmtId="6" fontId="27" fillId="0" borderId="0" xfId="2" applyNumberFormat="1" applyFont="1" applyAlignment="1">
      <alignment horizontal="left" vertical="center"/>
    </xf>
    <xf numFmtId="6" fontId="27" fillId="0" borderId="6" xfId="2" applyNumberFormat="1" applyFont="1" applyBorder="1" applyAlignment="1">
      <alignment horizontal="left" vertical="center"/>
    </xf>
    <xf numFmtId="6" fontId="19" fillId="0" borderId="0" xfId="2" applyNumberFormat="1" applyFont="1" applyAlignment="1">
      <alignment horizontal="center" vertical="center" wrapText="1"/>
    </xf>
    <xf numFmtId="6" fontId="28" fillId="0" borderId="0" xfId="2" applyNumberFormat="1" applyFont="1" applyAlignment="1">
      <alignment horizontal="center" vertical="center"/>
    </xf>
    <xf numFmtId="0" fontId="27" fillId="0" borderId="0" xfId="2" applyFont="1" applyAlignment="1">
      <alignment horizontal="centerContinuous"/>
    </xf>
    <xf numFmtId="6" fontId="17" fillId="0" borderId="0" xfId="2" applyNumberFormat="1" applyFont="1" applyAlignment="1">
      <alignment horizontal="center" vertical="center"/>
    </xf>
    <xf numFmtId="6" fontId="17" fillId="2" borderId="0" xfId="2" applyNumberFormat="1" applyFont="1" applyFill="1" applyAlignment="1">
      <alignment horizontal="center" vertical="center"/>
    </xf>
    <xf numFmtId="6" fontId="17" fillId="3" borderId="0" xfId="2" applyNumberFormat="1" applyFont="1" applyFill="1" applyAlignment="1">
      <alignment horizontal="center" vertical="center"/>
    </xf>
    <xf numFmtId="6" fontId="17" fillId="4" borderId="0" xfId="2" applyNumberFormat="1" applyFont="1" applyFill="1" applyAlignment="1">
      <alignment horizontal="center" vertical="center"/>
    </xf>
    <xf numFmtId="6" fontId="17" fillId="5" borderId="0" xfId="2" applyNumberFormat="1" applyFont="1" applyFill="1" applyAlignment="1">
      <alignment horizontal="center" vertical="center"/>
    </xf>
    <xf numFmtId="6" fontId="17" fillId="6" borderId="0" xfId="2" applyNumberFormat="1" applyFont="1" applyFill="1" applyAlignment="1">
      <alignment horizontal="center" vertical="center"/>
    </xf>
    <xf numFmtId="6" fontId="29" fillId="0" borderId="0" xfId="2" applyNumberFormat="1" applyFont="1" applyAlignment="1">
      <alignment horizontal="center" vertical="center"/>
    </xf>
    <xf numFmtId="6" fontId="19" fillId="9" borderId="0" xfId="2" applyNumberFormat="1" applyFont="1" applyFill="1" applyAlignment="1">
      <alignment horizontal="center" vertical="center" wrapText="1"/>
    </xf>
    <xf numFmtId="6" fontId="12" fillId="6" borderId="5" xfId="2" applyNumberFormat="1" applyFont="1" applyFill="1" applyBorder="1" applyAlignment="1">
      <alignment horizontal="center" vertical="center" wrapText="1"/>
    </xf>
    <xf numFmtId="6" fontId="12" fillId="6" borderId="0" xfId="2" applyNumberFormat="1" applyFont="1" applyFill="1" applyAlignment="1">
      <alignment horizontal="center" vertical="center" wrapText="1"/>
    </xf>
    <xf numFmtId="6" fontId="7" fillId="0" borderId="1" xfId="2" applyNumberFormat="1" applyFont="1" applyBorder="1" applyAlignment="1">
      <alignment horizontal="center" vertical="center"/>
    </xf>
    <xf numFmtId="6" fontId="7" fillId="0" borderId="2" xfId="2" applyNumberFormat="1" applyFont="1" applyBorder="1" applyAlignment="1">
      <alignment horizontal="center" vertical="center"/>
    </xf>
    <xf numFmtId="6" fontId="7" fillId="0" borderId="3" xfId="2" applyNumberFormat="1" applyFont="1" applyBorder="1" applyAlignment="1">
      <alignment horizontal="center" vertical="center"/>
    </xf>
    <xf numFmtId="164" fontId="19" fillId="2" borderId="7" xfId="2" applyNumberFormat="1" applyFont="1" applyFill="1" applyBorder="1" applyAlignment="1">
      <alignment horizontal="center" vertical="center"/>
    </xf>
    <xf numFmtId="164" fontId="19" fillId="3" borderId="7" xfId="2" applyNumberFormat="1" applyFont="1" applyFill="1" applyBorder="1" applyAlignment="1">
      <alignment horizontal="center" vertical="center"/>
    </xf>
    <xf numFmtId="164" fontId="19" fillId="4" borderId="7" xfId="2" applyNumberFormat="1" applyFont="1" applyFill="1" applyBorder="1" applyAlignment="1">
      <alignment horizontal="center" vertical="center" wrapText="1"/>
    </xf>
    <xf numFmtId="164" fontId="19" fillId="5" borderId="7" xfId="2" applyNumberFormat="1" applyFont="1" applyFill="1" applyBorder="1" applyAlignment="1">
      <alignment horizontal="center" vertical="center"/>
    </xf>
    <xf numFmtId="164" fontId="19" fillId="6" borderId="7" xfId="2" applyNumberFormat="1" applyFont="1" applyFill="1" applyBorder="1" applyAlignment="1">
      <alignment horizontal="center" vertical="center"/>
    </xf>
    <xf numFmtId="6" fontId="20" fillId="3" borderId="11" xfId="2" applyNumberFormat="1" applyFont="1" applyFill="1" applyBorder="1" applyAlignment="1">
      <alignment horizontal="left" vertical="center"/>
    </xf>
    <xf numFmtId="6" fontId="20" fillId="3" borderId="12" xfId="2" applyNumberFormat="1" applyFont="1" applyFill="1" applyBorder="1" applyAlignment="1">
      <alignment horizontal="left" vertical="center"/>
    </xf>
    <xf numFmtId="6" fontId="20" fillId="3" borderId="13" xfId="2" applyNumberFormat="1" applyFont="1" applyFill="1" applyBorder="1" applyAlignment="1">
      <alignment horizontal="left" vertical="center"/>
    </xf>
    <xf numFmtId="6" fontId="12" fillId="2" borderId="5" xfId="2" applyNumberFormat="1" applyFont="1" applyFill="1" applyBorder="1" applyAlignment="1">
      <alignment horizontal="center" vertical="center" wrapText="1"/>
    </xf>
    <xf numFmtId="6" fontId="12" fillId="2" borderId="0" xfId="2" applyNumberFormat="1" applyFont="1" applyFill="1" applyAlignment="1">
      <alignment horizontal="center" vertical="center" wrapText="1"/>
    </xf>
    <xf numFmtId="6" fontId="12" fillId="3" borderId="5" xfId="2" applyNumberFormat="1" applyFont="1" applyFill="1" applyBorder="1" applyAlignment="1">
      <alignment horizontal="center" vertical="center" wrapText="1"/>
    </xf>
    <xf numFmtId="6" fontId="12" fillId="3" borderId="0" xfId="2" applyNumberFormat="1" applyFont="1" applyFill="1" applyAlignment="1">
      <alignment horizontal="center" vertical="center" wrapText="1"/>
    </xf>
    <xf numFmtId="6" fontId="12" fillId="4" borderId="5" xfId="2" applyNumberFormat="1" applyFont="1" applyFill="1" applyBorder="1" applyAlignment="1">
      <alignment horizontal="center" vertical="center" wrapText="1"/>
    </xf>
    <xf numFmtId="6" fontId="12" fillId="4" borderId="0" xfId="2" applyNumberFormat="1" applyFont="1" applyFill="1" applyAlignment="1">
      <alignment horizontal="center" vertical="center" wrapText="1"/>
    </xf>
    <xf numFmtId="6" fontId="12" fillId="5" borderId="5" xfId="2" applyNumberFormat="1" applyFont="1" applyFill="1" applyBorder="1" applyAlignment="1">
      <alignment horizontal="center" vertical="center" wrapText="1"/>
    </xf>
    <xf numFmtId="6" fontId="12" fillId="5" borderId="0" xfId="2" applyNumberFormat="1" applyFont="1" applyFill="1" applyAlignment="1">
      <alignment horizontal="center" vertical="center" wrapText="1"/>
    </xf>
    <xf numFmtId="6" fontId="7" fillId="0" borderId="5" xfId="2" applyNumberFormat="1" applyFont="1" applyBorder="1" applyAlignment="1">
      <alignment horizontal="center" vertical="center"/>
    </xf>
    <xf numFmtId="6" fontId="30" fillId="0" borderId="5" xfId="2" applyNumberFormat="1" applyFont="1" applyBorder="1" applyAlignment="1">
      <alignment horizontal="center" vertical="center"/>
    </xf>
  </cellXfs>
  <cellStyles count="5">
    <cellStyle name="Monétaire 2" xfId="4" xr:uid="{2D83EBBE-C687-405D-A747-7272999C94CD}"/>
    <cellStyle name="Normal" xfId="0" builtinId="0"/>
    <cellStyle name="Normal 2 2 2" xfId="2" xr:uid="{D77C886A-D7E9-4E73-B708-F117A10F10EC}"/>
    <cellStyle name="Pourcentage" xfId="1" builtinId="5"/>
    <cellStyle name="Pourcentage 2" xfId="3" xr:uid="{0667C65C-D99D-4BB1-A965-05E4B5623B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2</xdr:row>
      <xdr:rowOff>190500</xdr:rowOff>
    </xdr:from>
    <xdr:to>
      <xdr:col>11</xdr:col>
      <xdr:colOff>594360</xdr:colOff>
      <xdr:row>2</xdr:row>
      <xdr:rowOff>1586484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688A5CB-3B04-FF07-D329-5CCFAF878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0" y="457200"/>
          <a:ext cx="5394960" cy="1395984"/>
        </a:xfrm>
        <a:prstGeom prst="rect">
          <a:avLst/>
        </a:prstGeom>
      </xdr:spPr>
    </xdr:pic>
    <xdr:clientData/>
  </xdr:twoCellAnchor>
  <xdr:twoCellAnchor editAs="oneCell">
    <xdr:from>
      <xdr:col>11</xdr:col>
      <xdr:colOff>685800</xdr:colOff>
      <xdr:row>2</xdr:row>
      <xdr:rowOff>323850</xdr:rowOff>
    </xdr:from>
    <xdr:to>
      <xdr:col>13</xdr:col>
      <xdr:colOff>827746</xdr:colOff>
      <xdr:row>2</xdr:row>
      <xdr:rowOff>1371600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E69F7E1-C468-2812-392B-E752120F0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90550"/>
          <a:ext cx="2466046" cy="1047750"/>
        </a:xfrm>
        <a:prstGeom prst="rect">
          <a:avLst/>
        </a:prstGeom>
      </xdr:spPr>
    </xdr:pic>
    <xdr:clientData/>
  </xdr:twoCellAnchor>
  <xdr:twoCellAnchor editAs="oneCell">
    <xdr:from>
      <xdr:col>19</xdr:col>
      <xdr:colOff>247650</xdr:colOff>
      <xdr:row>0</xdr:row>
      <xdr:rowOff>171450</xdr:rowOff>
    </xdr:from>
    <xdr:to>
      <xdr:col>32</xdr:col>
      <xdr:colOff>0</xdr:colOff>
      <xdr:row>2</xdr:row>
      <xdr:rowOff>1621209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67DE1F3-9B6F-E55E-1936-3BD86ADDF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63950" y="171450"/>
          <a:ext cx="5715000" cy="17164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tlavoieconseilcom.sharepoint.com/C:/C:/C:/Volumes/partage/Ventes/MOD&#200;LES/DIAGNOSTIC/ANALYSES/SAEC_Robert%20Lapointe%20montage%20financi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%20ventilation%20anthony%20maheu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tlavoieconseilcom.sharepoint.com/Users/jcote/GVG%20Dropbox/Groupe%20Vision%20Gestion/CLIENTS/F%20(M-Z)/FERME%20PARISBEL%20SENC/2019/C%20-%20Analyse%20et%20Rapport/Annuel/Analyse%20-%20Ferme%20Parisbel%20SENC%20-%20de&#769;c%20201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tlavoieconseilcom.sharepoint.com/Serveur/Documents/Documents%20and%20Settings/Andr&#233;e/Local%20Settings/Temporary%20Internet%20Files/Content.IE5/XRKF9G5F/Chevr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tlavoieconseilcom.sharepoint.com/C:/C:/C:/@/Serveur/data%20(d)/Program%20files/FSGAQ/AGWin/Classeur/Originaux/Vveau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https://forestlavoieconseilcom.sharepoint.com/Users/michel.pitre/Documents/Mes%20documents%20Lauzon/A-Makibois/Personnel/Les%20entreprises%20Pitre%20Inc/Comptabilit&#233;,%20ann&#233;e%202016%20et%202017/Comptabilit&#233;%20et%20&#233;tats%20financiers%202017%20(en%20date%20du%2028%20octobre%202017).xlsx?EDF0F6B8" TargetMode="External"/><Relationship Id="rId1" Type="http://schemas.openxmlformats.org/officeDocument/2006/relationships/externalLinkPath" Target="file:///\\EDF0F6B8\Comptabilit&#233;%20et%20&#233;tats%20financiers%202017%20(en%20date%20du%2028%20octobre%202017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tlavoieconseilcom.sharepoint.com/C:/C:/C:/Users/Jasmincote/GVG%20Dropbox/Groupe%20Vision%20Gestion/CLIENTS%20ACTIF/D-F/Ferme%20Casault%20Inc/C%20-Analyse%20et%20Rapport/Analyse%20et%20suivi%20mensuel%20-%20Ferme%20Casault%20Inc%20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tlavoieconseilcom.sharepoint.com/Users/jcote/GVG%20Dropbox/Groupe%20Vision%20Gestion/CLIENTS/G-L/GROUPE%20BESSETTE/C%20-%20Analyse%20et%20Rapport/Analyse%20Groupe%20Bessette%20-%20Aou&#770;t%202019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tlavoieconseilcom.sharepoint.com/C:/Volumes/partage/Ventes/CLIENTS/M-P/GROUPE%20MAINVILLE/Ferme%20JANOR/budget31oct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ubs_templat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Ventilation_hiver14_d&#233;part%2021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nées oeufs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he"/>
      <sheetName val="Poule"/>
      <sheetName val="Porc"/>
      <sheetName val="Vent tunnel"/>
      <sheetName val="V_naturelle"/>
      <sheetName val="Ventilateurs"/>
      <sheetName val="Vent_tun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e _de_sensibilite_VBA"/>
      <sheetName val="Cover1-Couverture1"/>
      <sheetName val="Cover2-Couverture2"/>
      <sheetName val="Cover3-Couverture3"/>
      <sheetName val="Organisation onglet"/>
      <sheetName val="Informations cie"/>
      <sheetName val="Questions en cours"/>
      <sheetName val="Étape du transfert"/>
      <sheetName val="Organigramme"/>
      <sheetName val="Description d'actif"/>
      <sheetName val="Évaluation des gestionnaires"/>
      <sheetName val="Conformité"/>
      <sheetName val="Résumé - Diagnostic et GdR"/>
      <sheetName val="Etats_des_Resultats"/>
      <sheetName val="Comp. Technique Laitier"/>
      <sheetName val="Ajustement au BAIIA"/>
      <sheetName val="Amortissement"/>
      <sheetName val="Pension d'animaux"/>
      <sheetName val="Sommaire EF historique"/>
      <sheetName val="Sommaire EF prévision"/>
      <sheetName val="Sommaire EF hypothèses"/>
      <sheetName val="Description_des_prets"/>
      <sheetName val="Projet - à partir de 2020"/>
      <sheetName val="Projet pour 2019"/>
      <sheetName val="Capacite_de_remboursement"/>
      <sheetName val="Proposition_Financement"/>
      <sheetName val="Prévision Avicole"/>
      <sheetName val="Previsions_Laitieres"/>
      <sheetName val="Graphiques combiné"/>
      <sheetName val="Plan_de_cultures"/>
      <sheetName val="Analyse de sensibilité statique"/>
      <sheetName val="Tableau JVM "/>
      <sheetName val="Position des garanties LT"/>
      <sheetName val="Ratios financiers"/>
      <sheetName val="Bilans_comparatifs"/>
      <sheetName val="Analyse FR"/>
      <sheetName val="BNR_CC_Placement_Immo_CF"/>
      <sheetName val="Résumé variation d'inv"/>
      <sheetName val="Variations_inventaires"/>
      <sheetName val="Evaluation Equip_Batiment_Quota"/>
      <sheetName val="Evaluation_terres"/>
      <sheetName val="Certificat Évaluation actifs"/>
      <sheetName val="EF résumé"/>
      <sheetName val="Position des garanties CT"/>
      <sheetName val="Comparable Maraîcher"/>
      <sheetName val="Comparatif cultures"/>
      <sheetName val="Technico-éco porc"/>
      <sheetName val="Feuille ÉF"/>
      <sheetName val="Analyse par production"/>
      <sheetName val="Actionnariat_Bilan perso_Echean"/>
      <sheetName val="Tableaux de sommaire"/>
      <sheetName val="Prix intraquota à la ferme"/>
      <sheetName val="Bilan JVM"/>
      <sheetName val="FdR"/>
      <sheetName val="Position CT - prévision"/>
      <sheetName val="Normalisation - Capitalisation"/>
      <sheetName val="JVM - Capitalisation"/>
      <sheetName val="Normalisation - actualisation"/>
      <sheetName val="JVM - Actualisation"/>
      <sheetName val="Réinvestissement"/>
      <sheetName val="CMPC"/>
      <sheetName val="Actifs excédentaires"/>
      <sheetName val="Protection fiscale"/>
      <sheetName val="Rendement exigé actionnaires"/>
      <sheetName val="Résumé financier"/>
      <sheetName val="Cote de risque GVG"/>
      <sheetName val="Tableau de bord"/>
      <sheetName val="Etat_des_flux_de_tresorerie"/>
      <sheetName val="ER1-RE1"/>
      <sheetName val="Agriconseil "/>
      <sheetName val="Analyse Trésorerie"/>
      <sheetName val="Budget maraîcher"/>
      <sheetName val="Comparatif Technique poulet"/>
      <sheetName val="Comparatif Technique porcin"/>
      <sheetName val="Production Avicole"/>
      <sheetName val="Rentabilité du projet"/>
      <sheetName val="cash flow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"/>
      <sheetName val="tab-mat"/>
      <sheetName val="1"/>
      <sheetName val="2"/>
      <sheetName val="3"/>
      <sheetName val="4"/>
      <sheetName val="5"/>
      <sheetName val="6"/>
      <sheetName val="7"/>
      <sheetName val="8"/>
      <sheetName val="80"/>
      <sheetName val="90"/>
      <sheetName val="13"/>
      <sheetName val="matrice"/>
      <sheetName val="s-calc"/>
      <sheetName val="ZZ"/>
      <sheetName val="Départements Gestion"/>
      <sheetName val="Budget par départeme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"/>
      <sheetName val="1"/>
      <sheetName val="2"/>
      <sheetName val="3"/>
      <sheetName val="4"/>
      <sheetName val="5"/>
      <sheetName val="6"/>
      <sheetName val="50"/>
      <sheetName val="G7"/>
      <sheetName val="Matrice"/>
      <sheetName val="cri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 proforma"/>
      <sheetName val="Résultat proforma"/>
      <sheetName val="Suivi budget réel vs budget"/>
      <sheetName val="Comptabilité (2017)"/>
      <sheetName val="Compte à recevoir IGA"/>
      <sheetName val="Compte à recevoir IGA et Autres"/>
      <sheetName val="Suivi budget réel vs budget (2"/>
      <sheetName val="Saisie des salaires"/>
      <sheetName val="Comptabilité (2016)"/>
      <sheetName val="Investissements"/>
      <sheetName val="2017"/>
      <sheetName val="Maraicher"/>
      <sheetName val="Grande culture"/>
      <sheetName val="Ferme"/>
      <sheetName val="Comptabilité et états financ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e et suivi mensuel - Ferm"/>
    </sheetNames>
    <definedNames>
      <definedName name="Loan_Start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1-Couverture1"/>
      <sheetName val="Cover2-Couverture2"/>
      <sheetName val="Cover3-Couverture3"/>
      <sheetName val="Résultats sommaires"/>
      <sheetName val="Bilan sommaire"/>
      <sheetName val="Résumé rendements"/>
      <sheetName val="Organisation onglet"/>
      <sheetName val="Informations cie"/>
      <sheetName val="Questions en cours"/>
      <sheetName val="Description d'actif"/>
      <sheetName val="Gestion et Conformité"/>
      <sheetName val="Résumé - Diagnostic et GdR"/>
      <sheetName val="Etats_des_Resultats"/>
      <sheetName val="Capacite_de_remboursement"/>
      <sheetName val="Analyse par production"/>
      <sheetName val="Sommaire executif Banque"/>
      <sheetName val="Projet - CT"/>
      <sheetName val="Projet - LT"/>
      <sheetName val="Proposition_Financement"/>
      <sheetName val="Position des garanties - CT"/>
      <sheetName val="Position des garanties - LT"/>
      <sheetName val="Description_des_prets"/>
      <sheetName val="Description prêt 31 août 2019"/>
      <sheetName val="Bilans_comparatifs"/>
      <sheetName val="FdR à jour"/>
      <sheetName val="Previsions_Laitieres"/>
      <sheetName val="Comp. Technique Laitier"/>
      <sheetName val="Amortissement"/>
      <sheetName val="Analyse _de_sensibilite_VBA"/>
      <sheetName val="Analyse de sensibilité statique"/>
      <sheetName val="Tableau JVM "/>
      <sheetName val="Position CT - prévision"/>
      <sheetName val="Bilan JVM"/>
      <sheetName val="Analyse FR"/>
      <sheetName val="BNR_CC_Placement_Immo_CF"/>
      <sheetName val="Résumé variation d'inv"/>
      <sheetName val="Comparatif cultures"/>
      <sheetName val="Inventaire_Animaux_Cultures"/>
      <sheetName val="Evaluation Equip_Batiment_Quota"/>
      <sheetName val="Plan_de_cultures"/>
      <sheetName val="Evaluation_terres"/>
      <sheetName val="Certificat Évaluation actifs"/>
      <sheetName val="EF résumé"/>
      <sheetName val="Ratios financiers"/>
      <sheetName val="Graphiques combiné"/>
      <sheetName val="Comparable Maraîcher"/>
      <sheetName val="Technico-éco porc"/>
      <sheetName val="Feuille ÉF"/>
      <sheetName val="Actionnariat_Bilan perso_Echean"/>
      <sheetName val="Tableaux de sommaire"/>
      <sheetName val="Prix intraquota à la ferme"/>
      <sheetName val="Résumé financier"/>
      <sheetName val="Cote de risque GVG"/>
      <sheetName val="Tableau de bord"/>
      <sheetName val="Etat_des_flux_de_tresorerie"/>
      <sheetName val="ER1-RE1"/>
      <sheetName val="Agriconseil "/>
      <sheetName val="Analyse Trésorerie"/>
      <sheetName val="Budget maraîcher"/>
      <sheetName val="Comparatif Technique poulet"/>
      <sheetName val="Comparatif Technique porcin"/>
      <sheetName val="Production Avicole"/>
      <sheetName val="Rentabilité du projet"/>
      <sheetName val="cash flow "/>
      <sheetName val="Projet"/>
      <sheetName val="Refinancement des prêts"/>
      <sheetName val="Position des garanties"/>
      <sheetName val="Organigramme"/>
      <sheetName val="Analyse Groupe Bessette - Aoû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V 07"/>
      <sheetName val="MAI 06"/>
      <sheetName val="JUIN 06"/>
      <sheetName val="JUIL 06"/>
      <sheetName val="AOUT 06"/>
      <sheetName val="SEPT 06"/>
      <sheetName val="matercumul"/>
      <sheetName val="pouponcumul"/>
      <sheetName val="engraiscumul"/>
      <sheetName val="meuneriecumul"/>
      <sheetName val="pouletcumul"/>
      <sheetName val="OCT 06"/>
      <sheetName val="matercumul OCT"/>
      <sheetName val="pouponcumul OCT"/>
      <sheetName val="engraiscumul OCT"/>
      <sheetName val="meuneriecumul OCT"/>
      <sheetName val="pouletcumul OCT"/>
      <sheetName val="sommaire oct"/>
      <sheetName val="NOV 06"/>
      <sheetName val="DEC 06"/>
      <sheetName val="JANV 07"/>
      <sheetName val="MARS 07"/>
      <sheetName val="AVRIL 07"/>
      <sheetName val="TR"/>
      <sheetName val="Fernand"/>
      <sheetName val="Cumulatif"/>
      <sheetName val="Mat Roch uni_m"/>
      <sheetName val="Mat Roch tot_m"/>
      <sheetName val="Mat Cuth uni_m"/>
      <sheetName val="Mat.Cuth Total"/>
      <sheetName val="Mat Norb uni_m"/>
      <sheetName val="Mat Norb tot_m"/>
      <sheetName val="Mat Mélan uni_m"/>
      <sheetName val="Mat Mélan tot_m"/>
      <sheetName val="Pou uni_m"/>
      <sheetName val="Pou tot_m"/>
      <sheetName val="Eng Desr uni_m"/>
      <sheetName val="Eng Desr tot_m"/>
      <sheetName val="Eng Cuth uni_m"/>
      <sheetName val="Eng Cuth tot_m"/>
      <sheetName val="Eng. Thom uni_m"/>
      <sheetName val="Eng Thom tot_m"/>
      <sheetName val="RHenri uni_m"/>
      <sheetName val="RHenri tot_m"/>
      <sheetName val="Porc cont un"/>
      <sheetName val="Porc contrat"/>
      <sheetName val="JMH un"/>
      <sheetName val="JMH "/>
      <sheetName val="Meunerie"/>
      <sheetName val="Poulet"/>
      <sheetName val="Administration"/>
      <sheetName val="Animaux"/>
      <sheetName val="A.S.R.A."/>
      <sheetName val="Feuil1"/>
      <sheetName val="cashflow"/>
      <sheetName val="ASRA"/>
      <sheetName val="resumeasr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bs_template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he"/>
      <sheetName val="Poule"/>
      <sheetName val="Porc"/>
      <sheetName val="Vent tunnel"/>
      <sheetName val="V_naturelle"/>
      <sheetName val="Ventilateurs"/>
      <sheetName val="Vent_tunnel"/>
      <sheetName val="Ventilation_hiver14_départ 2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767F1-EBCD-4C47-A5A4-7F705AFC32FE}">
  <sheetPr>
    <tabColor rgb="FFFFFF00"/>
    <pageSetUpPr fitToPage="1"/>
  </sheetPr>
  <dimension ref="A1:AL109"/>
  <sheetViews>
    <sheetView showGridLines="0" tabSelected="1" topLeftCell="A2" zoomScale="40" zoomScaleNormal="40" workbookViewId="0">
      <pane xSplit="3" ySplit="9" topLeftCell="D11" activePane="bottomRight" state="frozen"/>
      <selection pane="topRight" activeCell="BN7" sqref="BN7"/>
      <selection pane="bottomLeft" activeCell="BN7" sqref="BN7"/>
      <selection pane="bottomRight" activeCell="AG3" sqref="AG3"/>
    </sheetView>
  </sheetViews>
  <sheetFormatPr baseColWidth="10" defaultColWidth="10.796875" defaultRowHeight="13.2" outlineLevelCol="1"/>
  <cols>
    <col min="1" max="1" width="8" style="2" customWidth="1"/>
    <col min="2" max="2" width="2.296875" style="2" customWidth="1"/>
    <col min="3" max="3" width="46.59765625" style="2" customWidth="1"/>
    <col min="4" max="4" width="1" style="2" customWidth="1"/>
    <col min="5" max="5" width="1" style="8" customWidth="1" outlineLevel="1"/>
    <col min="6" max="6" width="1.796875" style="8" customWidth="1" outlineLevel="1"/>
    <col min="7" max="7" width="18.69921875" style="2" customWidth="1" outlineLevel="1"/>
    <col min="8" max="8" width="13.8984375" style="8" bestFit="1" customWidth="1" outlineLevel="1"/>
    <col min="9" max="9" width="13.69921875" style="8" bestFit="1" customWidth="1" outlineLevel="1"/>
    <col min="10" max="10" width="11.19921875" style="8" bestFit="1" customWidth="1" outlineLevel="1"/>
    <col min="11" max="11" width="1.796875" style="8" customWidth="1" outlineLevel="1"/>
    <col min="12" max="12" width="16.5" style="2" bestFit="1" customWidth="1" outlineLevel="1"/>
    <col min="13" max="13" width="14.09765625" style="8" bestFit="1" customWidth="1" outlineLevel="1"/>
    <col min="14" max="14" width="15.296875" style="8" bestFit="1" customWidth="1" outlineLevel="1"/>
    <col min="15" max="15" width="11.19921875" style="8" bestFit="1" customWidth="1" outlineLevel="1"/>
    <col min="16" max="17" width="1.796875" style="8" customWidth="1" outlineLevel="1"/>
    <col min="18" max="18" width="17.3984375" style="2" bestFit="1" customWidth="1" outlineLevel="1"/>
    <col min="19" max="19" width="13.3984375" style="8" bestFit="1" customWidth="1" outlineLevel="1"/>
    <col min="20" max="20" width="12.19921875" style="8" bestFit="1" customWidth="1" outlineLevel="1"/>
    <col min="21" max="21" width="1" style="8" customWidth="1" outlineLevel="1"/>
    <col min="22" max="22" width="1.796875" style="8" customWidth="1"/>
    <col min="23" max="23" width="1" style="2" customWidth="1"/>
    <col min="24" max="24" width="1" style="8" customWidth="1" outlineLevel="1"/>
    <col min="25" max="25" width="14.8984375" style="2" customWidth="1" outlineLevel="1"/>
    <col min="26" max="26" width="13.8984375" style="8" bestFit="1" customWidth="1" outlineLevel="1"/>
    <col min="27" max="27" width="15.296875" style="8" bestFit="1" customWidth="1" outlineLevel="1"/>
    <col min="28" max="28" width="11.19921875" style="8" bestFit="1" customWidth="1" outlineLevel="1"/>
    <col min="29" max="29" width="1.796875" style="8" customWidth="1" outlineLevel="1"/>
    <col min="30" max="30" width="1.296875" style="8" customWidth="1" outlineLevel="1"/>
    <col min="31" max="31" width="1.796875" style="8" customWidth="1" outlineLevel="1"/>
    <col min="32" max="32" width="1" style="8" customWidth="1" outlineLevel="1"/>
    <col min="33" max="33" width="27.09765625" style="2" bestFit="1" customWidth="1" outlineLevel="1"/>
    <col min="34" max="34" width="14.09765625" style="8" bestFit="1" customWidth="1" outlineLevel="1"/>
    <col min="35" max="35" width="15.296875" style="8" bestFit="1" customWidth="1" outlineLevel="1"/>
    <col min="36" max="36" width="11.19921875" style="8" bestFit="1" customWidth="1" outlineLevel="1"/>
    <col min="37" max="37" width="0.796875" style="8" customWidth="1"/>
    <col min="38" max="38" width="0.796875" style="8" customWidth="1" outlineLevel="1"/>
    <col min="39" max="16384" width="10.796875" style="2"/>
  </cols>
  <sheetData>
    <row r="1" spans="1:38" ht="20.399999999999999">
      <c r="A1" s="29"/>
      <c r="B1" s="29"/>
      <c r="C1" s="29"/>
      <c r="D1" s="29"/>
      <c r="E1" s="30"/>
      <c r="F1" s="30"/>
      <c r="G1" s="29"/>
      <c r="H1" s="30"/>
      <c r="I1" s="30"/>
      <c r="J1" s="30"/>
      <c r="K1" s="30"/>
      <c r="L1" s="29"/>
      <c r="M1" s="30"/>
      <c r="N1" s="30"/>
      <c r="O1" s="30"/>
      <c r="P1" s="30"/>
      <c r="Q1" s="30"/>
      <c r="R1" s="29"/>
      <c r="S1" s="30"/>
      <c r="T1" s="30"/>
      <c r="U1" s="30"/>
      <c r="V1" s="30"/>
      <c r="W1" s="29"/>
      <c r="X1" s="30"/>
      <c r="Y1" s="29"/>
      <c r="Z1" s="30"/>
      <c r="AA1" s="30"/>
      <c r="AB1" s="30"/>
      <c r="AC1" s="30"/>
      <c r="AD1" s="30"/>
      <c r="AE1" s="30"/>
      <c r="AF1" s="30"/>
      <c r="AG1" s="29"/>
      <c r="AH1" s="30"/>
      <c r="AI1" s="30"/>
      <c r="AJ1" s="30"/>
      <c r="AK1" s="30"/>
      <c r="AL1" s="1"/>
    </row>
    <row r="2" spans="1:38" ht="20.399999999999999" hidden="1">
      <c r="A2" s="31"/>
      <c r="B2" s="31"/>
      <c r="C2" s="32"/>
      <c r="D2" s="32"/>
      <c r="E2" s="33"/>
      <c r="F2" s="33"/>
      <c r="G2" s="353" t="s">
        <v>0</v>
      </c>
      <c r="H2" s="354"/>
      <c r="I2" s="354"/>
      <c r="J2" s="354"/>
      <c r="K2" s="33"/>
      <c r="L2" s="353" t="s">
        <v>1</v>
      </c>
      <c r="M2" s="354"/>
      <c r="N2" s="354"/>
      <c r="O2" s="354"/>
      <c r="P2" s="33"/>
      <c r="Q2" s="33"/>
      <c r="R2" s="353" t="s">
        <v>2</v>
      </c>
      <c r="S2" s="354"/>
      <c r="T2" s="354"/>
      <c r="U2" s="354"/>
      <c r="V2" s="33"/>
      <c r="W2" s="32"/>
      <c r="X2" s="33"/>
      <c r="Y2" s="353" t="s">
        <v>3</v>
      </c>
      <c r="Z2" s="354"/>
      <c r="AA2" s="354"/>
      <c r="AB2" s="354"/>
      <c r="AC2" s="354"/>
      <c r="AD2" s="354"/>
      <c r="AE2" s="354"/>
      <c r="AF2" s="354"/>
      <c r="AG2" s="354"/>
      <c r="AH2" s="354"/>
      <c r="AI2" s="354"/>
      <c r="AJ2" s="355"/>
      <c r="AK2" s="33"/>
      <c r="AL2" s="4"/>
    </row>
    <row r="3" spans="1:38" ht="131.4" customHeight="1">
      <c r="A3" s="31"/>
      <c r="B3" s="31"/>
      <c r="C3" s="32"/>
      <c r="D3" s="32"/>
      <c r="E3" s="33"/>
      <c r="F3" s="33"/>
      <c r="G3" s="372"/>
      <c r="H3" s="372"/>
      <c r="I3" s="372"/>
      <c r="J3" s="372"/>
      <c r="K3" s="33"/>
      <c r="L3" s="372"/>
      <c r="M3" s="372"/>
      <c r="N3" s="372"/>
      <c r="O3" s="372"/>
      <c r="P3" s="33"/>
      <c r="Q3" s="33"/>
      <c r="R3" s="373" t="s">
        <v>65</v>
      </c>
      <c r="S3" s="372"/>
      <c r="T3" s="372"/>
      <c r="U3" s="372"/>
      <c r="V3" s="33"/>
      <c r="W3" s="32"/>
      <c r="X3" s="33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372"/>
      <c r="AJ3" s="372"/>
      <c r="AK3" s="33"/>
      <c r="AL3" s="4"/>
    </row>
    <row r="4" spans="1:38" ht="13.8" customHeight="1">
      <c r="A4" s="32"/>
      <c r="B4" s="34"/>
      <c r="C4" s="35"/>
      <c r="D4" s="35"/>
      <c r="E4" s="36"/>
      <c r="F4" s="36"/>
      <c r="G4" s="37"/>
      <c r="H4" s="38"/>
      <c r="I4" s="38"/>
      <c r="J4" s="38"/>
      <c r="K4" s="36"/>
      <c r="L4" s="39"/>
      <c r="M4" s="40"/>
      <c r="N4" s="40"/>
      <c r="O4" s="40"/>
      <c r="P4" s="36"/>
      <c r="Q4" s="36"/>
      <c r="R4" s="41"/>
      <c r="S4" s="42"/>
      <c r="T4" s="42"/>
      <c r="U4" s="42"/>
      <c r="V4" s="36"/>
      <c r="W4" s="35"/>
      <c r="X4" s="36"/>
      <c r="Y4" s="43"/>
      <c r="Z4" s="44"/>
      <c r="AA4" s="44"/>
      <c r="AB4" s="44"/>
      <c r="AC4" s="36"/>
      <c r="AD4" s="36"/>
      <c r="AE4" s="36"/>
      <c r="AF4" s="36"/>
      <c r="AG4" s="45"/>
      <c r="AH4" s="46"/>
      <c r="AI4" s="46"/>
      <c r="AJ4" s="46"/>
      <c r="AK4" s="36"/>
      <c r="AL4" s="5"/>
    </row>
    <row r="5" spans="1:38" s="342" customFormat="1" ht="56.4">
      <c r="A5" s="338"/>
      <c r="B5" s="339"/>
      <c r="C5" s="340" t="s">
        <v>4</v>
      </c>
      <c r="D5" s="93"/>
      <c r="E5" s="134"/>
      <c r="F5" s="134"/>
      <c r="G5" s="356" t="s">
        <v>64</v>
      </c>
      <c r="H5" s="356"/>
      <c r="I5" s="356"/>
      <c r="J5" s="356"/>
      <c r="K5" s="134"/>
      <c r="L5" s="357" t="s">
        <v>5</v>
      </c>
      <c r="M5" s="357"/>
      <c r="N5" s="357"/>
      <c r="O5" s="357"/>
      <c r="P5" s="134"/>
      <c r="Q5" s="134"/>
      <c r="R5" s="358" t="s">
        <v>6</v>
      </c>
      <c r="S5" s="358"/>
      <c r="T5" s="358"/>
      <c r="U5" s="117"/>
      <c r="V5" s="134"/>
      <c r="W5" s="93"/>
      <c r="X5" s="134"/>
      <c r="Y5" s="359" t="s">
        <v>7</v>
      </c>
      <c r="Z5" s="359"/>
      <c r="AA5" s="359"/>
      <c r="AB5" s="359"/>
      <c r="AC5" s="134"/>
      <c r="AD5" s="134"/>
      <c r="AE5" s="134"/>
      <c r="AF5" s="134"/>
      <c r="AG5" s="360" t="s">
        <v>8</v>
      </c>
      <c r="AH5" s="360"/>
      <c r="AI5" s="360"/>
      <c r="AJ5" s="360"/>
      <c r="AK5" s="341"/>
      <c r="AL5" s="341"/>
    </row>
    <row r="6" spans="1:38" ht="25.2">
      <c r="A6" s="32"/>
      <c r="B6" s="47"/>
      <c r="C6" s="336" t="s">
        <v>9</v>
      </c>
      <c r="D6" s="67"/>
      <c r="E6" s="68"/>
      <c r="F6" s="68"/>
      <c r="G6" s="364" t="s">
        <v>10</v>
      </c>
      <c r="H6" s="69"/>
      <c r="I6" s="69"/>
      <c r="J6" s="69"/>
      <c r="K6" s="68"/>
      <c r="L6" s="366" t="s">
        <v>11</v>
      </c>
      <c r="M6" s="70"/>
      <c r="N6" s="70"/>
      <c r="O6" s="70"/>
      <c r="P6" s="68"/>
      <c r="Q6" s="68"/>
      <c r="R6" s="368"/>
      <c r="S6" s="71"/>
      <c r="T6" s="71"/>
      <c r="U6" s="71"/>
      <c r="V6" s="68"/>
      <c r="W6" s="67"/>
      <c r="X6" s="68"/>
      <c r="Y6" s="370" t="s">
        <v>12</v>
      </c>
      <c r="Z6" s="72"/>
      <c r="AA6" s="72"/>
      <c r="AB6" s="72"/>
      <c r="AC6" s="68"/>
      <c r="AD6" s="68"/>
      <c r="AE6" s="68"/>
      <c r="AF6" s="68"/>
      <c r="AG6" s="351" t="s">
        <v>12</v>
      </c>
      <c r="AH6" s="73"/>
      <c r="AI6" s="73"/>
      <c r="AJ6" s="73"/>
      <c r="AK6" s="48"/>
      <c r="AL6" s="6"/>
    </row>
    <row r="7" spans="1:38" s="337" customFormat="1" ht="25.8" thickBot="1">
      <c r="A7" s="334"/>
      <c r="B7" s="335"/>
      <c r="C7" s="75" t="s">
        <v>13</v>
      </c>
      <c r="D7" s="74"/>
      <c r="E7" s="343"/>
      <c r="F7" s="343"/>
      <c r="G7" s="365"/>
      <c r="H7" s="344" t="s">
        <v>14</v>
      </c>
      <c r="I7" s="344" t="s">
        <v>15</v>
      </c>
      <c r="J7" s="344"/>
      <c r="K7" s="343"/>
      <c r="L7" s="367"/>
      <c r="M7" s="345" t="s">
        <v>14</v>
      </c>
      <c r="N7" s="345" t="s">
        <v>16</v>
      </c>
      <c r="O7" s="345"/>
      <c r="P7" s="343"/>
      <c r="Q7" s="343"/>
      <c r="R7" s="369"/>
      <c r="S7" s="346" t="s">
        <v>14</v>
      </c>
      <c r="T7" s="346"/>
      <c r="U7" s="346"/>
      <c r="V7" s="343"/>
      <c r="W7" s="74"/>
      <c r="X7" s="343"/>
      <c r="Y7" s="371"/>
      <c r="Z7" s="347" t="s">
        <v>14</v>
      </c>
      <c r="AA7" s="347" t="s">
        <v>17</v>
      </c>
      <c r="AB7" s="347"/>
      <c r="AC7" s="343"/>
      <c r="AD7" s="343"/>
      <c r="AE7" s="343"/>
      <c r="AF7" s="343"/>
      <c r="AG7" s="352"/>
      <c r="AH7" s="348" t="s">
        <v>14</v>
      </c>
      <c r="AI7" s="348" t="s">
        <v>17</v>
      </c>
      <c r="AJ7" s="348"/>
      <c r="AK7" s="349"/>
      <c r="AL7" s="349"/>
    </row>
    <row r="8" spans="1:38" s="92" customFormat="1" ht="28.8" thickBot="1">
      <c r="A8" s="76"/>
      <c r="B8" s="77"/>
      <c r="C8" s="78" t="s">
        <v>62</v>
      </c>
      <c r="D8" s="79"/>
      <c r="E8" s="80"/>
      <c r="F8" s="80"/>
      <c r="G8" s="81">
        <f>I8/H8</f>
        <v>338.24495292939076</v>
      </c>
      <c r="H8" s="82">
        <f>30.5*2.471</f>
        <v>75.365499999999997</v>
      </c>
      <c r="I8" s="82">
        <v>25492</v>
      </c>
      <c r="J8" s="82"/>
      <c r="K8" s="80"/>
      <c r="L8" s="83">
        <v>14</v>
      </c>
      <c r="M8" s="84">
        <v>41</v>
      </c>
      <c r="N8" s="84">
        <f>L8*M8</f>
        <v>574</v>
      </c>
      <c r="O8" s="84"/>
      <c r="P8" s="80"/>
      <c r="Q8" s="80"/>
      <c r="R8" s="85"/>
      <c r="S8" s="86">
        <v>924</v>
      </c>
      <c r="T8" s="86"/>
      <c r="U8" s="86"/>
      <c r="V8" s="80"/>
      <c r="W8" s="79"/>
      <c r="X8" s="80"/>
      <c r="Y8" s="87">
        <v>48</v>
      </c>
      <c r="Z8" s="88">
        <v>1</v>
      </c>
      <c r="AA8" s="89">
        <f>Z8*Y8</f>
        <v>48</v>
      </c>
      <c r="AB8" s="89"/>
      <c r="AC8" s="80"/>
      <c r="AD8" s="80"/>
      <c r="AE8" s="80"/>
      <c r="AF8" s="80"/>
      <c r="AG8" s="90">
        <v>45</v>
      </c>
      <c r="AH8" s="88">
        <v>1</v>
      </c>
      <c r="AI8" s="91">
        <f>AH8*AG8</f>
        <v>45</v>
      </c>
      <c r="AJ8" s="91"/>
      <c r="AK8" s="80"/>
      <c r="AL8" s="80"/>
    </row>
    <row r="9" spans="1:38" s="92" customFormat="1" ht="28.2">
      <c r="A9" s="93"/>
      <c r="B9" s="94"/>
      <c r="C9" s="95" t="s">
        <v>13</v>
      </c>
      <c r="D9" s="95"/>
      <c r="E9" s="96"/>
      <c r="F9" s="96"/>
      <c r="G9" s="97"/>
      <c r="H9" s="98"/>
      <c r="I9" s="98"/>
      <c r="J9" s="99"/>
      <c r="K9" s="96"/>
      <c r="L9" s="100"/>
      <c r="M9" s="101"/>
      <c r="N9" s="101"/>
      <c r="O9" s="102"/>
      <c r="P9" s="96"/>
      <c r="Q9" s="96"/>
      <c r="R9" s="103"/>
      <c r="S9" s="104"/>
      <c r="T9" s="105"/>
      <c r="U9" s="105"/>
      <c r="V9" s="96"/>
      <c r="W9" s="95"/>
      <c r="X9" s="96"/>
      <c r="Y9" s="106"/>
      <c r="Z9" s="107"/>
      <c r="AA9" s="107"/>
      <c r="AB9" s="108"/>
      <c r="AC9" s="96"/>
      <c r="AD9" s="96"/>
      <c r="AE9" s="96"/>
      <c r="AF9" s="96"/>
      <c r="AG9" s="109"/>
      <c r="AH9" s="110"/>
      <c r="AI9" s="110"/>
      <c r="AJ9" s="111"/>
      <c r="AK9" s="96"/>
      <c r="AL9" s="96"/>
    </row>
    <row r="10" spans="1:38" s="92" customFormat="1" ht="20.25" customHeight="1">
      <c r="A10" s="93"/>
      <c r="B10" s="94"/>
      <c r="C10" s="93"/>
      <c r="D10" s="93"/>
      <c r="E10" s="112"/>
      <c r="F10" s="112"/>
      <c r="G10" s="113" t="s">
        <v>18</v>
      </c>
      <c r="H10" s="114" t="s">
        <v>19</v>
      </c>
      <c r="I10" s="114" t="s">
        <v>20</v>
      </c>
      <c r="J10" s="114" t="s">
        <v>21</v>
      </c>
      <c r="K10" s="112"/>
      <c r="L10" s="115" t="s">
        <v>18</v>
      </c>
      <c r="M10" s="116" t="s">
        <v>19</v>
      </c>
      <c r="N10" s="116" t="s">
        <v>20</v>
      </c>
      <c r="O10" s="116" t="s">
        <v>21</v>
      </c>
      <c r="P10" s="112"/>
      <c r="Q10" s="112"/>
      <c r="R10" s="117" t="s">
        <v>18</v>
      </c>
      <c r="S10" s="118" t="s">
        <v>19</v>
      </c>
      <c r="T10" s="118" t="s">
        <v>21</v>
      </c>
      <c r="U10" s="118"/>
      <c r="V10" s="112"/>
      <c r="W10" s="93"/>
      <c r="X10" s="112"/>
      <c r="Y10" s="119" t="s">
        <v>18</v>
      </c>
      <c r="Z10" s="120" t="s">
        <v>19</v>
      </c>
      <c r="AA10" s="120" t="s">
        <v>20</v>
      </c>
      <c r="AB10" s="120" t="s">
        <v>21</v>
      </c>
      <c r="AC10" s="112"/>
      <c r="AD10" s="112"/>
      <c r="AE10" s="112"/>
      <c r="AF10" s="112"/>
      <c r="AG10" s="121" t="s">
        <v>18</v>
      </c>
      <c r="AH10" s="122" t="s">
        <v>19</v>
      </c>
      <c r="AI10" s="122" t="s">
        <v>20</v>
      </c>
      <c r="AJ10" s="122" t="s">
        <v>21</v>
      </c>
      <c r="AK10" s="112"/>
      <c r="AL10" s="112"/>
    </row>
    <row r="11" spans="1:38" s="92" customFormat="1" ht="28.2">
      <c r="A11" s="93"/>
      <c r="B11" s="94"/>
      <c r="C11" s="93"/>
      <c r="D11" s="93"/>
      <c r="E11" s="123"/>
      <c r="F11" s="123"/>
      <c r="G11" s="124"/>
      <c r="H11" s="125"/>
      <c r="I11" s="125"/>
      <c r="J11" s="125"/>
      <c r="K11" s="123"/>
      <c r="L11" s="126"/>
      <c r="M11" s="127"/>
      <c r="N11" s="127"/>
      <c r="O11" s="127"/>
      <c r="P11" s="123"/>
      <c r="Q11" s="123"/>
      <c r="R11" s="128"/>
      <c r="S11" s="129"/>
      <c r="T11" s="129"/>
      <c r="U11" s="129"/>
      <c r="V11" s="123"/>
      <c r="W11" s="93"/>
      <c r="X11" s="123"/>
      <c r="Y11" s="130"/>
      <c r="Z11" s="131"/>
      <c r="AA11" s="131"/>
      <c r="AB11" s="131"/>
      <c r="AC11" s="123"/>
      <c r="AD11" s="123"/>
      <c r="AE11" s="123"/>
      <c r="AF11" s="123"/>
      <c r="AG11" s="132"/>
      <c r="AH11" s="133"/>
      <c r="AI11" s="133"/>
      <c r="AJ11" s="133"/>
      <c r="AK11" s="123"/>
      <c r="AL11" s="123"/>
    </row>
    <row r="12" spans="1:38" s="92" customFormat="1" ht="28.2">
      <c r="A12" s="93"/>
      <c r="B12" s="94"/>
      <c r="C12" s="134" t="s">
        <v>22</v>
      </c>
      <c r="D12" s="93"/>
      <c r="E12" s="112"/>
      <c r="F12" s="112"/>
      <c r="G12" s="113"/>
      <c r="H12" s="114"/>
      <c r="I12" s="114"/>
      <c r="J12" s="135"/>
      <c r="K12" s="112"/>
      <c r="L12" s="115"/>
      <c r="M12" s="116"/>
      <c r="N12" s="116"/>
      <c r="O12" s="136"/>
      <c r="P12" s="112"/>
      <c r="Q12" s="112"/>
      <c r="R12" s="117"/>
      <c r="S12" s="118"/>
      <c r="T12" s="137"/>
      <c r="U12" s="118"/>
      <c r="V12" s="112"/>
      <c r="W12" s="93"/>
      <c r="X12" s="112"/>
      <c r="Y12" s="119"/>
      <c r="Z12" s="120"/>
      <c r="AA12" s="120"/>
      <c r="AB12" s="138"/>
      <c r="AC12" s="112"/>
      <c r="AD12" s="112"/>
      <c r="AE12" s="112"/>
      <c r="AF12" s="112"/>
      <c r="AG12" s="121"/>
      <c r="AH12" s="122"/>
      <c r="AI12" s="122"/>
      <c r="AJ12" s="139"/>
      <c r="AK12" s="112"/>
      <c r="AL12" s="112"/>
    </row>
    <row r="13" spans="1:38" s="92" customFormat="1" ht="28.2">
      <c r="A13" s="93"/>
      <c r="B13" s="94"/>
      <c r="C13" s="93"/>
      <c r="D13" s="93"/>
      <c r="E13" s="112"/>
      <c r="F13" s="112"/>
      <c r="G13" s="113"/>
      <c r="H13" s="114"/>
      <c r="I13" s="114"/>
      <c r="J13" s="135"/>
      <c r="K13" s="112"/>
      <c r="L13" s="115"/>
      <c r="M13" s="116"/>
      <c r="N13" s="116"/>
      <c r="O13" s="136"/>
      <c r="P13" s="112"/>
      <c r="Q13" s="112"/>
      <c r="R13" s="117"/>
      <c r="S13" s="118"/>
      <c r="T13" s="137"/>
      <c r="U13" s="118"/>
      <c r="V13" s="112"/>
      <c r="W13" s="93"/>
      <c r="X13" s="112"/>
      <c r="Y13" s="119"/>
      <c r="Z13" s="120"/>
      <c r="AA13" s="120"/>
      <c r="AB13" s="138"/>
      <c r="AC13" s="112"/>
      <c r="AD13" s="112"/>
      <c r="AE13" s="112"/>
      <c r="AF13" s="112"/>
      <c r="AG13" s="121"/>
      <c r="AH13" s="122"/>
      <c r="AI13" s="122"/>
      <c r="AJ13" s="139"/>
      <c r="AK13" s="123"/>
      <c r="AL13" s="123"/>
    </row>
    <row r="14" spans="1:38" s="92" customFormat="1" ht="28.2">
      <c r="A14" s="93"/>
      <c r="B14" s="94"/>
      <c r="C14" s="93" t="s">
        <v>23</v>
      </c>
      <c r="D14" s="93"/>
      <c r="E14" s="123"/>
      <c r="F14" s="123"/>
      <c r="G14" s="140">
        <v>389620</v>
      </c>
      <c r="H14" s="125">
        <f>G14/H$8</f>
        <v>5169.7394696512329</v>
      </c>
      <c r="I14" s="141">
        <f>G14/I$8</f>
        <v>15.284010670014123</v>
      </c>
      <c r="J14" s="142">
        <f>G14/G$18</f>
        <v>0.98170082648919388</v>
      </c>
      <c r="K14" s="123"/>
      <c r="L14" s="143">
        <f>$N$8*N14</f>
        <v>271748.82</v>
      </c>
      <c r="M14" s="127">
        <f>L14/M8</f>
        <v>6628.02</v>
      </c>
      <c r="N14" s="144">
        <v>473.43</v>
      </c>
      <c r="O14" s="145">
        <f>L14/L$18</f>
        <v>0.95421838693237282</v>
      </c>
      <c r="P14" s="123"/>
      <c r="Q14" s="123"/>
      <c r="R14" s="146">
        <v>859474</v>
      </c>
      <c r="S14" s="129">
        <f>R14/S$8</f>
        <v>930.16666666666663</v>
      </c>
      <c r="T14" s="147">
        <f>R14/R$18</f>
        <v>0.9407511350650829</v>
      </c>
      <c r="U14" s="129"/>
      <c r="V14" s="123"/>
      <c r="W14" s="93"/>
      <c r="X14" s="123"/>
      <c r="Y14" s="148">
        <f>AA14*AA8</f>
        <v>7200</v>
      </c>
      <c r="Z14" s="131">
        <f>Y14/Z$8</f>
        <v>7200</v>
      </c>
      <c r="AA14" s="149">
        <v>150</v>
      </c>
      <c r="AB14" s="150">
        <f>Y14/Y$18</f>
        <v>1</v>
      </c>
      <c r="AC14" s="123"/>
      <c r="AD14" s="123"/>
      <c r="AE14" s="123"/>
      <c r="AF14" s="123"/>
      <c r="AG14" s="151">
        <f>AI14*AI8</f>
        <v>6750</v>
      </c>
      <c r="AH14" s="133">
        <f>AG14/AH$8</f>
        <v>6750</v>
      </c>
      <c r="AI14" s="152">
        <v>150</v>
      </c>
      <c r="AJ14" s="153">
        <f>AG14/AG$18</f>
        <v>0.96358257431577066</v>
      </c>
      <c r="AK14" s="123"/>
      <c r="AL14" s="123"/>
    </row>
    <row r="15" spans="1:38" s="92" customFormat="1" ht="28.2">
      <c r="A15" s="93"/>
      <c r="B15" s="94"/>
      <c r="C15" s="93" t="s">
        <v>24</v>
      </c>
      <c r="D15" s="93"/>
      <c r="E15" s="123"/>
      <c r="F15" s="123"/>
      <c r="G15" s="154">
        <f>H8*H15</f>
        <v>7262.6239999999989</v>
      </c>
      <c r="H15" s="125">
        <f>(H14-H29-H32)*3.2%</f>
        <v>96.36536611579568</v>
      </c>
      <c r="I15" s="141">
        <f>G15/I$8</f>
        <v>0.28489816412992308</v>
      </c>
      <c r="J15" s="142">
        <f>G15/G$18</f>
        <v>1.8299173510806052E-2</v>
      </c>
      <c r="K15" s="123"/>
      <c r="L15" s="143">
        <f>$M$8*M15</f>
        <v>10250</v>
      </c>
      <c r="M15" s="127">
        <v>250</v>
      </c>
      <c r="N15" s="144">
        <f>L15/N$8</f>
        <v>17.857142857142858</v>
      </c>
      <c r="O15" s="145">
        <f>L15/L$18</f>
        <v>3.5991834172662905E-2</v>
      </c>
      <c r="P15" s="123"/>
      <c r="Q15" s="123"/>
      <c r="R15" s="155">
        <f>2587+13498</f>
        <v>16085</v>
      </c>
      <c r="S15" s="129">
        <f>R15/S$8</f>
        <v>17.408008658008658</v>
      </c>
      <c r="T15" s="147">
        <f>R15/R$18</f>
        <v>1.7606096295550371E-2</v>
      </c>
      <c r="U15" s="129"/>
      <c r="V15" s="123"/>
      <c r="W15" s="93"/>
      <c r="X15" s="123"/>
      <c r="Y15" s="156">
        <f>Z$8*Z15</f>
        <v>0</v>
      </c>
      <c r="Z15" s="131">
        <v>0</v>
      </c>
      <c r="AA15" s="157">
        <f>Y15/AA$8</f>
        <v>0</v>
      </c>
      <c r="AB15" s="150">
        <f>Y15/Y$18</f>
        <v>0</v>
      </c>
      <c r="AC15" s="123"/>
      <c r="AD15" s="123"/>
      <c r="AE15" s="123"/>
      <c r="AF15" s="123"/>
      <c r="AG15" s="151">
        <f>AH$8*AH15</f>
        <v>255.108</v>
      </c>
      <c r="AH15" s="133">
        <f>(AH14-AH23)*4.2%</f>
        <v>255.108</v>
      </c>
      <c r="AI15" s="152">
        <f>AG15/AI$8</f>
        <v>5.6690666666666667</v>
      </c>
      <c r="AJ15" s="153">
        <f>AG15/AG$18</f>
        <v>3.6417425684229281E-2</v>
      </c>
      <c r="AK15" s="123"/>
      <c r="AL15" s="123"/>
    </row>
    <row r="16" spans="1:38" s="92" customFormat="1" ht="28.2">
      <c r="A16" s="93"/>
      <c r="B16" s="94"/>
      <c r="C16" s="93" t="s">
        <v>25</v>
      </c>
      <c r="D16" s="93"/>
      <c r="E16" s="123"/>
      <c r="F16" s="123"/>
      <c r="G16" s="154">
        <f>H$8*H16</f>
        <v>0</v>
      </c>
      <c r="H16" s="125">
        <v>0</v>
      </c>
      <c r="I16" s="125">
        <f>G16/I$8</f>
        <v>0</v>
      </c>
      <c r="J16" s="142">
        <f>G16/G$18</f>
        <v>0</v>
      </c>
      <c r="K16" s="123"/>
      <c r="L16" s="143">
        <f>$M$8*M16</f>
        <v>2788</v>
      </c>
      <c r="M16" s="127">
        <v>68</v>
      </c>
      <c r="N16" s="144">
        <f>L16/N$8</f>
        <v>4.8571428571428568</v>
      </c>
      <c r="O16" s="145">
        <f>L16/L$18</f>
        <v>9.78977889496431E-3</v>
      </c>
      <c r="P16" s="123"/>
      <c r="Q16" s="123"/>
      <c r="R16" s="155">
        <f>38045</f>
        <v>38045</v>
      </c>
      <c r="S16" s="129">
        <f>R16/S$8</f>
        <v>41.174242424242422</v>
      </c>
      <c r="T16" s="147">
        <f>R16/R$18</f>
        <v>4.164276863936673E-2</v>
      </c>
      <c r="U16" s="129"/>
      <c r="V16" s="123"/>
      <c r="W16" s="93"/>
      <c r="X16" s="123"/>
      <c r="Y16" s="156">
        <f>Z$8*Z16</f>
        <v>0</v>
      </c>
      <c r="Z16" s="131">
        <v>0</v>
      </c>
      <c r="AA16" s="157">
        <f>Y16/AA$8</f>
        <v>0</v>
      </c>
      <c r="AB16" s="150">
        <f>Y16/Y$18</f>
        <v>0</v>
      </c>
      <c r="AC16" s="123"/>
      <c r="AD16" s="123"/>
      <c r="AE16" s="123"/>
      <c r="AF16" s="123"/>
      <c r="AG16" s="151">
        <f t="shared" ref="AG16" si="0">AH$8*AH16</f>
        <v>0</v>
      </c>
      <c r="AH16" s="133">
        <v>0</v>
      </c>
      <c r="AI16" s="159">
        <f>AG16/AI$8</f>
        <v>0</v>
      </c>
      <c r="AJ16" s="153">
        <f>AG16/AG$18</f>
        <v>0</v>
      </c>
      <c r="AK16" s="123"/>
      <c r="AL16" s="123"/>
    </row>
    <row r="17" spans="1:38" s="92" customFormat="1" ht="28.2">
      <c r="A17" s="93"/>
      <c r="B17" s="94"/>
      <c r="C17" s="93"/>
      <c r="D17" s="93"/>
      <c r="E17" s="112"/>
      <c r="F17" s="112"/>
      <c r="G17" s="113"/>
      <c r="H17" s="114"/>
      <c r="I17" s="160"/>
      <c r="J17" s="135"/>
      <c r="K17" s="112"/>
      <c r="L17" s="115"/>
      <c r="M17" s="116"/>
      <c r="N17" s="161"/>
      <c r="O17" s="136"/>
      <c r="P17" s="112"/>
      <c r="Q17" s="112"/>
      <c r="R17" s="117"/>
      <c r="S17" s="118"/>
      <c r="T17" s="137"/>
      <c r="U17" s="118"/>
      <c r="V17" s="112"/>
      <c r="W17" s="93"/>
      <c r="X17" s="112"/>
      <c r="Y17" s="119"/>
      <c r="Z17" s="120"/>
      <c r="AA17" s="162"/>
      <c r="AB17" s="138"/>
      <c r="AC17" s="112"/>
      <c r="AD17" s="112"/>
      <c r="AE17" s="112"/>
      <c r="AF17" s="112"/>
      <c r="AG17" s="121"/>
      <c r="AH17" s="122"/>
      <c r="AI17" s="163"/>
      <c r="AJ17" s="139"/>
      <c r="AK17" s="112"/>
      <c r="AL17" s="112"/>
    </row>
    <row r="18" spans="1:38" s="92" customFormat="1" ht="28.2">
      <c r="A18" s="95"/>
      <c r="B18" s="164"/>
      <c r="C18" s="165" t="s">
        <v>26</v>
      </c>
      <c r="D18" s="95"/>
      <c r="E18" s="166"/>
      <c r="F18" s="166"/>
      <c r="G18" s="167">
        <f>SUM(G14:G17)</f>
        <v>396882.62400000001</v>
      </c>
      <c r="H18" s="168">
        <f>SUM(H14:H17)</f>
        <v>5266.1048357670288</v>
      </c>
      <c r="I18" s="169">
        <f>SUM(I14:I17)</f>
        <v>15.568908834144047</v>
      </c>
      <c r="J18" s="170">
        <f>G18/G$18</f>
        <v>1</v>
      </c>
      <c r="K18" s="166"/>
      <c r="L18" s="171">
        <f>SUM(L14:L17)</f>
        <v>284786.82</v>
      </c>
      <c r="M18" s="172">
        <f>SUM(M14:M17)</f>
        <v>6946.02</v>
      </c>
      <c r="N18" s="173">
        <f>SUM(N14:N17)</f>
        <v>496.14428571428567</v>
      </c>
      <c r="O18" s="174">
        <f>L18/L$18</f>
        <v>1</v>
      </c>
      <c r="P18" s="166"/>
      <c r="Q18" s="166"/>
      <c r="R18" s="175">
        <f>SUM(R14:R17)</f>
        <v>913604</v>
      </c>
      <c r="S18" s="176">
        <f>SUM(S14:S17)</f>
        <v>988.74891774891762</v>
      </c>
      <c r="T18" s="177">
        <f>R18/R$18</f>
        <v>1</v>
      </c>
      <c r="U18" s="178"/>
      <c r="V18" s="166"/>
      <c r="W18" s="95"/>
      <c r="X18" s="166"/>
      <c r="Y18" s="179">
        <f>SUM(Y14:Y17)</f>
        <v>7200</v>
      </c>
      <c r="Z18" s="180">
        <f>SUM(Z14:Z17)</f>
        <v>7200</v>
      </c>
      <c r="AA18" s="181">
        <f>SUM(AA14:AA17)</f>
        <v>150</v>
      </c>
      <c r="AB18" s="182">
        <f>Y18/Y$18</f>
        <v>1</v>
      </c>
      <c r="AC18" s="166"/>
      <c r="AD18" s="166"/>
      <c r="AE18" s="166"/>
      <c r="AF18" s="166"/>
      <c r="AG18" s="183">
        <f>SUM(AG14:AG17)</f>
        <v>7005.1080000000002</v>
      </c>
      <c r="AH18" s="184">
        <f>SUM(AH14:AH17)</f>
        <v>7005.1080000000002</v>
      </c>
      <c r="AI18" s="185">
        <f>SUM(AI14:AI17)</f>
        <v>155.66906666666668</v>
      </c>
      <c r="AJ18" s="186">
        <f>AG18/AG$18</f>
        <v>1</v>
      </c>
      <c r="AK18" s="166"/>
      <c r="AL18" s="166"/>
    </row>
    <row r="19" spans="1:38" s="92" customFormat="1" ht="28.2">
      <c r="A19" s="112"/>
      <c r="B19" s="187"/>
      <c r="C19" s="188"/>
      <c r="D19" s="112"/>
      <c r="E19" s="166"/>
      <c r="F19" s="166"/>
      <c r="G19" s="189"/>
      <c r="H19" s="190"/>
      <c r="I19" s="191"/>
      <c r="J19" s="192"/>
      <c r="K19" s="166"/>
      <c r="L19" s="193"/>
      <c r="M19" s="194"/>
      <c r="N19" s="195"/>
      <c r="O19" s="196"/>
      <c r="P19" s="166"/>
      <c r="Q19" s="166"/>
      <c r="R19" s="197"/>
      <c r="S19" s="178"/>
      <c r="T19" s="198"/>
      <c r="U19" s="178"/>
      <c r="V19" s="166"/>
      <c r="W19" s="112"/>
      <c r="X19" s="166"/>
      <c r="Y19" s="199"/>
      <c r="Z19" s="200"/>
      <c r="AA19" s="201"/>
      <c r="AB19" s="202"/>
      <c r="AC19" s="166"/>
      <c r="AD19" s="166"/>
      <c r="AE19" s="166"/>
      <c r="AF19" s="166"/>
      <c r="AG19" s="203"/>
      <c r="AH19" s="204"/>
      <c r="AI19" s="205"/>
      <c r="AJ19" s="206"/>
      <c r="AK19" s="166"/>
      <c r="AL19" s="166"/>
    </row>
    <row r="20" spans="1:38" s="92" customFormat="1" ht="28.2">
      <c r="A20" s="93"/>
      <c r="B20" s="94"/>
      <c r="C20" s="134" t="s">
        <v>27</v>
      </c>
      <c r="D20" s="93"/>
      <c r="E20" s="123"/>
      <c r="F20" s="123"/>
      <c r="G20" s="207"/>
      <c r="H20" s="125"/>
      <c r="I20" s="141"/>
      <c r="J20" s="208"/>
      <c r="K20" s="123"/>
      <c r="L20" s="209"/>
      <c r="M20" s="127"/>
      <c r="N20" s="144"/>
      <c r="O20" s="210"/>
      <c r="P20" s="123"/>
      <c r="Q20" s="123"/>
      <c r="R20" s="211"/>
      <c r="S20" s="129"/>
      <c r="T20" s="212"/>
      <c r="U20" s="129"/>
      <c r="V20" s="123"/>
      <c r="W20" s="93"/>
      <c r="X20" s="123"/>
      <c r="Y20" s="213"/>
      <c r="Z20" s="131"/>
      <c r="AA20" s="158"/>
      <c r="AB20" s="214"/>
      <c r="AC20" s="123"/>
      <c r="AD20" s="123"/>
      <c r="AE20" s="123"/>
      <c r="AF20" s="123"/>
      <c r="AG20" s="215"/>
      <c r="AH20" s="133"/>
      <c r="AI20" s="152"/>
      <c r="AJ20" s="216"/>
      <c r="AK20" s="123"/>
      <c r="AL20" s="123"/>
    </row>
    <row r="21" spans="1:38" s="92" customFormat="1" ht="28.2">
      <c r="A21" s="93"/>
      <c r="B21" s="94"/>
      <c r="C21" s="93"/>
      <c r="D21" s="93"/>
      <c r="E21" s="123"/>
      <c r="F21" s="123"/>
      <c r="G21" s="207"/>
      <c r="H21" s="125"/>
      <c r="I21" s="141"/>
      <c r="J21" s="208"/>
      <c r="K21" s="123"/>
      <c r="L21" s="209"/>
      <c r="M21" s="127"/>
      <c r="N21" s="144"/>
      <c r="O21" s="210"/>
      <c r="P21" s="123"/>
      <c r="Q21" s="123"/>
      <c r="R21" s="211"/>
      <c r="S21" s="129"/>
      <c r="T21" s="212"/>
      <c r="U21" s="129"/>
      <c r="V21" s="123"/>
      <c r="W21" s="93"/>
      <c r="X21" s="123"/>
      <c r="Y21" s="213"/>
      <c r="Z21" s="131"/>
      <c r="AA21" s="158"/>
      <c r="AB21" s="214"/>
      <c r="AC21" s="123"/>
      <c r="AD21" s="123"/>
      <c r="AE21" s="123"/>
      <c r="AF21" s="123"/>
      <c r="AG21" s="215"/>
      <c r="AH21" s="133"/>
      <c r="AI21" s="152"/>
      <c r="AJ21" s="216"/>
      <c r="AK21" s="123"/>
      <c r="AL21" s="123"/>
    </row>
    <row r="22" spans="1:38" s="92" customFormat="1" ht="28.2">
      <c r="A22" s="93"/>
      <c r="B22" s="94"/>
      <c r="C22" s="217" t="s">
        <v>28</v>
      </c>
      <c r="D22" s="93"/>
      <c r="E22" s="123"/>
      <c r="F22" s="123"/>
      <c r="G22" s="207"/>
      <c r="H22" s="125"/>
      <c r="I22" s="141"/>
      <c r="J22" s="208"/>
      <c r="K22" s="123"/>
      <c r="L22" s="209"/>
      <c r="M22" s="127"/>
      <c r="N22" s="144"/>
      <c r="O22" s="210"/>
      <c r="P22" s="123"/>
      <c r="Q22" s="123"/>
      <c r="R22" s="211"/>
      <c r="S22" s="129"/>
      <c r="T22" s="212"/>
      <c r="U22" s="129"/>
      <c r="V22" s="123"/>
      <c r="W22" s="93"/>
      <c r="X22" s="123"/>
      <c r="Y22" s="213"/>
      <c r="Z22" s="131"/>
      <c r="AA22" s="158"/>
      <c r="AB22" s="214"/>
      <c r="AC22" s="123"/>
      <c r="AD22" s="123"/>
      <c r="AE22" s="123"/>
      <c r="AF22" s="123"/>
      <c r="AG22" s="215"/>
      <c r="AH22" s="133"/>
      <c r="AI22" s="152"/>
      <c r="AJ22" s="216"/>
      <c r="AK22" s="123"/>
      <c r="AL22" s="123"/>
    </row>
    <row r="23" spans="1:38" s="92" customFormat="1" ht="28.2">
      <c r="A23" s="93"/>
      <c r="B23" s="94"/>
      <c r="C23" s="93" t="s">
        <v>29</v>
      </c>
      <c r="D23" s="93"/>
      <c r="E23" s="123"/>
      <c r="F23" s="123"/>
      <c r="G23" s="154">
        <f>40138</f>
        <v>40138</v>
      </c>
      <c r="H23" s="125">
        <f>G23/H$8</f>
        <v>532.57790368271958</v>
      </c>
      <c r="I23" s="141">
        <f>G23/I$8</f>
        <v>1.574533186882159</v>
      </c>
      <c r="J23" s="218">
        <f>G23/G$18</f>
        <v>0.10113317533397481</v>
      </c>
      <c r="K23" s="123"/>
      <c r="L23" s="143">
        <f>$M$8*M23</f>
        <v>7427.1500000000005</v>
      </c>
      <c r="M23" s="127">
        <v>181.15</v>
      </c>
      <c r="N23" s="144">
        <f>L23/N$8</f>
        <v>12.939285714285715</v>
      </c>
      <c r="O23" s="219">
        <f>L23/L$18</f>
        <v>2.6079683041511544E-2</v>
      </c>
      <c r="P23" s="123"/>
      <c r="Q23" s="123"/>
      <c r="R23" s="155">
        <f>203228</f>
        <v>203228</v>
      </c>
      <c r="S23" s="129">
        <f>R23/S$8</f>
        <v>219.94372294372295</v>
      </c>
      <c r="T23" s="220">
        <f>R23/R$18</f>
        <v>0.22244648666161707</v>
      </c>
      <c r="U23" s="129"/>
      <c r="V23" s="123"/>
      <c r="W23" s="93"/>
      <c r="X23" s="123"/>
      <c r="Y23" s="156">
        <f>Z$8*Z23</f>
        <v>876</v>
      </c>
      <c r="Z23" s="131">
        <v>876</v>
      </c>
      <c r="AA23" s="158">
        <f>Y23/AA$8</f>
        <v>18.25</v>
      </c>
      <c r="AB23" s="221">
        <f>Y23/Y$18</f>
        <v>0.12166666666666667</v>
      </c>
      <c r="AC23" s="123"/>
      <c r="AD23" s="123"/>
      <c r="AE23" s="123"/>
      <c r="AF23" s="123"/>
      <c r="AG23" s="151">
        <f>AH$8*AH23</f>
        <v>676</v>
      </c>
      <c r="AH23" s="133">
        <v>676</v>
      </c>
      <c r="AI23" s="152">
        <f>AG23/AI$8</f>
        <v>15.022222222222222</v>
      </c>
      <c r="AJ23" s="222">
        <f>AG23/AG$18</f>
        <v>9.6501010405549772E-2</v>
      </c>
      <c r="AK23" s="123"/>
      <c r="AL23" s="123"/>
    </row>
    <row r="24" spans="1:38" s="92" customFormat="1" ht="28.2">
      <c r="A24" s="93"/>
      <c r="B24" s="94"/>
      <c r="C24" s="93" t="s">
        <v>30</v>
      </c>
      <c r="D24" s="93"/>
      <c r="E24" s="123"/>
      <c r="F24" s="123"/>
      <c r="G24" s="154">
        <f>53473</f>
        <v>53473</v>
      </c>
      <c r="H24" s="125">
        <f>G24/H$8</f>
        <v>709.51562717689126</v>
      </c>
      <c r="I24" s="141">
        <f>G24/I$8</f>
        <v>2.0976384748156285</v>
      </c>
      <c r="J24" s="218">
        <f>G24/G$18</f>
        <v>0.13473252988772821</v>
      </c>
      <c r="K24" s="123"/>
      <c r="L24" s="143">
        <f t="shared" ref="L24:L27" si="1">$M$8*M24</f>
        <v>9070.84</v>
      </c>
      <c r="M24" s="127">
        <f>161.77+59.47</f>
        <v>221.24</v>
      </c>
      <c r="N24" s="144">
        <f>L24/N$8</f>
        <v>15.802857142857142</v>
      </c>
      <c r="O24" s="219">
        <f>L24/L$18</f>
        <v>3.1851333569439769E-2</v>
      </c>
      <c r="P24" s="123"/>
      <c r="Q24" s="123"/>
      <c r="R24" s="155">
        <v>0</v>
      </c>
      <c r="S24" s="129">
        <f t="shared" ref="S24:S27" si="2">R24/S$8</f>
        <v>0</v>
      </c>
      <c r="T24" s="147">
        <f>R24/R$18</f>
        <v>0</v>
      </c>
      <c r="U24" s="129"/>
      <c r="V24" s="123"/>
      <c r="W24" s="93"/>
      <c r="X24" s="123"/>
      <c r="Y24" s="156">
        <f>Z$8*Z24</f>
        <v>485</v>
      </c>
      <c r="Z24" s="131">
        <v>485</v>
      </c>
      <c r="AA24" s="158">
        <f>Y24/AA$8</f>
        <v>10.104166666666666</v>
      </c>
      <c r="AB24" s="221">
        <f>Y24/Y$18</f>
        <v>6.7361111111111108E-2</v>
      </c>
      <c r="AC24" s="123"/>
      <c r="AD24" s="123"/>
      <c r="AE24" s="123"/>
      <c r="AF24" s="123"/>
      <c r="AG24" s="151">
        <f t="shared" ref="AG24:AG27" si="3">AH$8*AH24</f>
        <v>652</v>
      </c>
      <c r="AH24" s="133">
        <v>652</v>
      </c>
      <c r="AI24" s="152">
        <f>AG24/AI$8</f>
        <v>14.488888888888889</v>
      </c>
      <c r="AJ24" s="222">
        <f>AG24/AG$18</f>
        <v>9.307493903020482E-2</v>
      </c>
      <c r="AK24" s="123"/>
      <c r="AL24" s="123"/>
    </row>
    <row r="25" spans="1:38" s="92" customFormat="1" ht="28.2">
      <c r="A25" s="93"/>
      <c r="B25" s="94"/>
      <c r="C25" s="93" t="s">
        <v>31</v>
      </c>
      <c r="D25" s="93"/>
      <c r="E25" s="123"/>
      <c r="F25" s="123"/>
      <c r="G25" s="154">
        <v>39173</v>
      </c>
      <c r="H25" s="125">
        <f>G25/H$8</f>
        <v>519.77363647822949</v>
      </c>
      <c r="I25" s="141">
        <f>G25/I$8</f>
        <v>1.5366781735446415</v>
      </c>
      <c r="J25" s="218">
        <f>G25/G$18</f>
        <v>9.8701725979316243E-2</v>
      </c>
      <c r="K25" s="123"/>
      <c r="L25" s="143">
        <f t="shared" si="1"/>
        <v>9360.3000000000011</v>
      </c>
      <c r="M25" s="127">
        <v>228.3</v>
      </c>
      <c r="N25" s="144">
        <f>L25/N$8</f>
        <v>16.30714285714286</v>
      </c>
      <c r="O25" s="219">
        <f>L25/L$18</f>
        <v>3.2867742966475766E-2</v>
      </c>
      <c r="P25" s="123"/>
      <c r="Q25" s="123"/>
      <c r="R25" s="155">
        <v>0</v>
      </c>
      <c r="S25" s="129">
        <f t="shared" si="2"/>
        <v>0</v>
      </c>
      <c r="T25" s="147">
        <f>R25/R$18</f>
        <v>0</v>
      </c>
      <c r="U25" s="129"/>
      <c r="V25" s="123"/>
      <c r="W25" s="93"/>
      <c r="X25" s="123"/>
      <c r="Y25" s="156">
        <f>Z$8*Z25</f>
        <v>240</v>
      </c>
      <c r="Z25" s="131">
        <v>240</v>
      </c>
      <c r="AA25" s="158">
        <f>Y25/AA$8</f>
        <v>5</v>
      </c>
      <c r="AB25" s="221">
        <f>Y25/Y$18</f>
        <v>3.3333333333333333E-2</v>
      </c>
      <c r="AC25" s="123"/>
      <c r="AD25" s="123"/>
      <c r="AE25" s="123"/>
      <c r="AF25" s="123"/>
      <c r="AG25" s="151">
        <f t="shared" si="3"/>
        <v>452</v>
      </c>
      <c r="AH25" s="133">
        <v>452</v>
      </c>
      <c r="AI25" s="152">
        <f>AG25/AI$8</f>
        <v>10.044444444444444</v>
      </c>
      <c r="AJ25" s="222">
        <f>AG25/AG$18</f>
        <v>6.4524344235663458E-2</v>
      </c>
      <c r="AK25" s="123"/>
      <c r="AL25" s="123"/>
    </row>
    <row r="26" spans="1:38" s="92" customFormat="1" ht="28.2">
      <c r="A26" s="93"/>
      <c r="B26" s="94"/>
      <c r="C26" s="93" t="s">
        <v>32</v>
      </c>
      <c r="D26" s="93"/>
      <c r="E26" s="123"/>
      <c r="F26" s="123"/>
      <c r="G26" s="154">
        <f>9369+3768</f>
        <v>13137</v>
      </c>
      <c r="H26" s="125">
        <f>G26/H$8</f>
        <v>174.31052669988259</v>
      </c>
      <c r="I26" s="141">
        <f>G26/I$8</f>
        <v>0.51533814530048638</v>
      </c>
      <c r="J26" s="218">
        <f>G26/G$18</f>
        <v>3.3100466499636931E-2</v>
      </c>
      <c r="K26" s="123"/>
      <c r="L26" s="143">
        <f t="shared" si="1"/>
        <v>0</v>
      </c>
      <c r="M26" s="127">
        <v>0</v>
      </c>
      <c r="N26" s="127">
        <f>L26/N$8</f>
        <v>0</v>
      </c>
      <c r="O26" s="145">
        <f>L26/L$18</f>
        <v>0</v>
      </c>
      <c r="P26" s="123"/>
      <c r="Q26" s="123"/>
      <c r="R26" s="155">
        <f>4368</f>
        <v>4368</v>
      </c>
      <c r="S26" s="129">
        <f t="shared" si="2"/>
        <v>4.7272727272727275</v>
      </c>
      <c r="T26" s="220">
        <f>R26/R$18</f>
        <v>4.7810648815022703E-3</v>
      </c>
      <c r="U26" s="129"/>
      <c r="V26" s="123"/>
      <c r="W26" s="93"/>
      <c r="X26" s="123"/>
      <c r="Y26" s="156">
        <f>Z$8*Z26</f>
        <v>0</v>
      </c>
      <c r="Z26" s="131">
        <v>0</v>
      </c>
      <c r="AA26" s="131">
        <f>Y26/AA$8</f>
        <v>0</v>
      </c>
      <c r="AB26" s="150">
        <f>Y26/Y$18</f>
        <v>0</v>
      </c>
      <c r="AC26" s="123"/>
      <c r="AD26" s="123"/>
      <c r="AE26" s="123"/>
      <c r="AF26" s="123"/>
      <c r="AG26" s="151">
        <f t="shared" si="3"/>
        <v>22</v>
      </c>
      <c r="AH26" s="133">
        <v>22</v>
      </c>
      <c r="AI26" s="152">
        <f>AG26/AI$8</f>
        <v>0.48888888888888887</v>
      </c>
      <c r="AJ26" s="222">
        <f>AG26/AG$18</f>
        <v>3.140565427399549E-3</v>
      </c>
      <c r="AK26" s="123"/>
      <c r="AL26" s="123"/>
    </row>
    <row r="27" spans="1:38" s="92" customFormat="1" ht="28.2">
      <c r="A27" s="93"/>
      <c r="B27" s="94"/>
      <c r="C27" s="93"/>
      <c r="D27" s="93"/>
      <c r="E27" s="123"/>
      <c r="F27" s="123"/>
      <c r="G27" s="154">
        <v>0</v>
      </c>
      <c r="H27" s="125">
        <f>G27/H$8</f>
        <v>0</v>
      </c>
      <c r="I27" s="125">
        <f>G27/I$8</f>
        <v>0</v>
      </c>
      <c r="J27" s="142">
        <f>G27/G$18</f>
        <v>0</v>
      </c>
      <c r="K27" s="123"/>
      <c r="L27" s="143">
        <f t="shared" si="1"/>
        <v>0</v>
      </c>
      <c r="M27" s="127">
        <v>0</v>
      </c>
      <c r="N27" s="127">
        <f>L27/N$8</f>
        <v>0</v>
      </c>
      <c r="O27" s="145">
        <f>L27/L$18</f>
        <v>0</v>
      </c>
      <c r="P27" s="123"/>
      <c r="Q27" s="123"/>
      <c r="R27" s="155"/>
      <c r="S27" s="129">
        <f t="shared" si="2"/>
        <v>0</v>
      </c>
      <c r="T27" s="147">
        <f>R27/R$18</f>
        <v>0</v>
      </c>
      <c r="U27" s="129"/>
      <c r="V27" s="123"/>
      <c r="W27" s="93"/>
      <c r="X27" s="123"/>
      <c r="Y27" s="156">
        <f>Z$8*Z27</f>
        <v>0</v>
      </c>
      <c r="Z27" s="131">
        <v>0</v>
      </c>
      <c r="AA27" s="131">
        <f>Y27/AA$8</f>
        <v>0</v>
      </c>
      <c r="AB27" s="150">
        <f>Y27/Y$18</f>
        <v>0</v>
      </c>
      <c r="AC27" s="123"/>
      <c r="AD27" s="123"/>
      <c r="AE27" s="123"/>
      <c r="AF27" s="123"/>
      <c r="AG27" s="151">
        <f t="shared" si="3"/>
        <v>0</v>
      </c>
      <c r="AH27" s="133">
        <v>0</v>
      </c>
      <c r="AI27" s="133">
        <f>AG27/AI$8</f>
        <v>0</v>
      </c>
      <c r="AJ27" s="153">
        <f>AG27/AG$18</f>
        <v>0</v>
      </c>
      <c r="AK27" s="123"/>
      <c r="AL27" s="123"/>
    </row>
    <row r="28" spans="1:38" s="92" customFormat="1" ht="14.25" customHeight="1">
      <c r="A28" s="93"/>
      <c r="B28" s="94"/>
      <c r="C28" s="93"/>
      <c r="D28" s="93"/>
      <c r="E28" s="123"/>
      <c r="F28" s="123"/>
      <c r="G28" s="154"/>
      <c r="H28" s="125"/>
      <c r="I28" s="141"/>
      <c r="J28" s="218"/>
      <c r="K28" s="123"/>
      <c r="L28" s="223"/>
      <c r="M28" s="127"/>
      <c r="N28" s="144"/>
      <c r="O28" s="219"/>
      <c r="P28" s="123"/>
      <c r="Q28" s="123"/>
      <c r="R28" s="155"/>
      <c r="S28" s="129"/>
      <c r="T28" s="220"/>
      <c r="U28" s="129"/>
      <c r="V28" s="123"/>
      <c r="W28" s="93"/>
      <c r="X28" s="123"/>
      <c r="Y28" s="156"/>
      <c r="Z28" s="131"/>
      <c r="AA28" s="158"/>
      <c r="AB28" s="221"/>
      <c r="AC28" s="123"/>
      <c r="AD28" s="123"/>
      <c r="AE28" s="123"/>
      <c r="AF28" s="123"/>
      <c r="AG28" s="224"/>
      <c r="AH28" s="133"/>
      <c r="AI28" s="152"/>
      <c r="AJ28" s="222"/>
      <c r="AK28" s="112"/>
      <c r="AL28" s="112"/>
    </row>
    <row r="29" spans="1:38" s="92" customFormat="1" ht="28.2">
      <c r="A29" s="93"/>
      <c r="B29" s="94"/>
      <c r="C29" s="188" t="s">
        <v>33</v>
      </c>
      <c r="D29" s="112"/>
      <c r="E29" s="112"/>
      <c r="F29" s="112"/>
      <c r="G29" s="225">
        <f>SUM(G22:G28)</f>
        <v>145921</v>
      </c>
      <c r="H29" s="226">
        <f>SUM(H21:H28)</f>
        <v>1936.1776940377229</v>
      </c>
      <c r="I29" s="227">
        <f>SUM(I22:I28)</f>
        <v>5.724187980542915</v>
      </c>
      <c r="J29" s="228">
        <f>G29/G$18</f>
        <v>0.36766789770065617</v>
      </c>
      <c r="K29" s="112"/>
      <c r="L29" s="229">
        <f>SUM(L22:L28)</f>
        <v>25858.29</v>
      </c>
      <c r="M29" s="230">
        <f>SUM(M21:M28)</f>
        <v>630.69000000000005</v>
      </c>
      <c r="N29" s="231">
        <f>SUM(N22:N28)</f>
        <v>45.049285714285716</v>
      </c>
      <c r="O29" s="232">
        <f>L29/L$18</f>
        <v>9.0798759577427071E-2</v>
      </c>
      <c r="P29" s="112"/>
      <c r="Q29" s="112"/>
      <c r="R29" s="233">
        <f>SUM(R22:R28)</f>
        <v>207596</v>
      </c>
      <c r="S29" s="234">
        <f>SUM(S21:S28)</f>
        <v>224.67099567099567</v>
      </c>
      <c r="T29" s="235">
        <f>R29/R$18</f>
        <v>0.22722755154311933</v>
      </c>
      <c r="U29" s="118"/>
      <c r="V29" s="112"/>
      <c r="W29" s="112"/>
      <c r="X29" s="112"/>
      <c r="Y29" s="236">
        <f>SUM(Y22:Y28)</f>
        <v>1601</v>
      </c>
      <c r="Z29" s="237">
        <f>SUM(Z21:Z28)</f>
        <v>1601</v>
      </c>
      <c r="AA29" s="238">
        <f>SUM(AA22:AA28)</f>
        <v>33.354166666666664</v>
      </c>
      <c r="AB29" s="239">
        <f>Y29/Y$18</f>
        <v>0.22236111111111112</v>
      </c>
      <c r="AC29" s="112"/>
      <c r="AD29" s="112"/>
      <c r="AE29" s="112"/>
      <c r="AF29" s="112"/>
      <c r="AG29" s="240">
        <f>SUM(AG22:AG28)</f>
        <v>1802</v>
      </c>
      <c r="AH29" s="241">
        <f>SUM(AH21:AH28)</f>
        <v>1802</v>
      </c>
      <c r="AI29" s="242">
        <f>SUM(AI22:AI28)</f>
        <v>40.044444444444444</v>
      </c>
      <c r="AJ29" s="243">
        <f>AG29/AG$18</f>
        <v>0.25724085909881761</v>
      </c>
      <c r="AK29" s="244"/>
      <c r="AL29" s="244"/>
    </row>
    <row r="30" spans="1:38" s="92" customFormat="1" ht="28.2">
      <c r="A30" s="93"/>
      <c r="B30" s="94"/>
      <c r="C30" s="93"/>
      <c r="D30" s="93"/>
      <c r="E30" s="123"/>
      <c r="F30" s="123"/>
      <c r="G30" s="207"/>
      <c r="H30" s="125"/>
      <c r="I30" s="141"/>
      <c r="J30" s="208"/>
      <c r="K30" s="123"/>
      <c r="L30" s="209"/>
      <c r="M30" s="127"/>
      <c r="N30" s="144"/>
      <c r="O30" s="210"/>
      <c r="P30" s="123"/>
      <c r="Q30" s="123"/>
      <c r="R30" s="211"/>
      <c r="S30" s="129"/>
      <c r="T30" s="212"/>
      <c r="U30" s="129"/>
      <c r="V30" s="123"/>
      <c r="W30" s="93"/>
      <c r="X30" s="123"/>
      <c r="Y30" s="213"/>
      <c r="Z30" s="131"/>
      <c r="AA30" s="158"/>
      <c r="AB30" s="214"/>
      <c r="AC30" s="123"/>
      <c r="AD30" s="123"/>
      <c r="AE30" s="123"/>
      <c r="AF30" s="123"/>
      <c r="AG30" s="215"/>
      <c r="AH30" s="133"/>
      <c r="AI30" s="152"/>
      <c r="AJ30" s="216"/>
      <c r="AK30" s="123"/>
      <c r="AL30" s="123"/>
    </row>
    <row r="31" spans="1:38" s="92" customFormat="1" ht="28.2">
      <c r="A31" s="93"/>
      <c r="B31" s="94"/>
      <c r="C31" s="217" t="s">
        <v>34</v>
      </c>
      <c r="D31" s="93"/>
      <c r="E31" s="123"/>
      <c r="F31" s="123"/>
      <c r="G31" s="207"/>
      <c r="H31" s="125"/>
      <c r="I31" s="141"/>
      <c r="J31" s="208"/>
      <c r="K31" s="123"/>
      <c r="L31" s="209"/>
      <c r="M31" s="127"/>
      <c r="N31" s="144"/>
      <c r="O31" s="210"/>
      <c r="P31" s="123"/>
      <c r="Q31" s="123"/>
      <c r="R31" s="211"/>
      <c r="S31" s="129"/>
      <c r="T31" s="212"/>
      <c r="U31" s="129"/>
      <c r="V31" s="123"/>
      <c r="W31" s="93"/>
      <c r="X31" s="123"/>
      <c r="Y31" s="213"/>
      <c r="Z31" s="131"/>
      <c r="AA31" s="158"/>
      <c r="AB31" s="214"/>
      <c r="AC31" s="123"/>
      <c r="AD31" s="123"/>
      <c r="AE31" s="123"/>
      <c r="AF31" s="123"/>
      <c r="AG31" s="215"/>
      <c r="AH31" s="133"/>
      <c r="AI31" s="152"/>
      <c r="AJ31" s="216"/>
      <c r="AK31" s="123"/>
      <c r="AL31" s="123"/>
    </row>
    <row r="32" spans="1:38" s="92" customFormat="1" ht="28.2">
      <c r="A32" s="93"/>
      <c r="B32" s="94"/>
      <c r="C32" s="93" t="s">
        <v>35</v>
      </c>
      <c r="D32" s="93"/>
      <c r="E32" s="123"/>
      <c r="F32" s="123"/>
      <c r="G32" s="154">
        <v>16742</v>
      </c>
      <c r="H32" s="125">
        <f t="shared" ref="H32:H40" si="4">G32/H$8</f>
        <v>222.14408449489488</v>
      </c>
      <c r="I32" s="141">
        <f t="shared" ref="I32:I40" si="5">G32/I$8</f>
        <v>0.65675506041110931</v>
      </c>
      <c r="J32" s="218">
        <f t="shared" ref="J32:J40" si="6">G32/G$18</f>
        <v>4.2183756575848483E-2</v>
      </c>
      <c r="K32" s="123"/>
      <c r="L32" s="143">
        <f t="shared" ref="L32:L40" si="7">$M$8*M32</f>
        <v>2017.2</v>
      </c>
      <c r="M32" s="127">
        <f>49.2</f>
        <v>49.2</v>
      </c>
      <c r="N32" s="144">
        <f t="shared" ref="N32:N40" si="8">L32/N$8</f>
        <v>3.5142857142857142</v>
      </c>
      <c r="O32" s="219">
        <f t="shared" ref="O32:O40" si="9">L32/L$18</f>
        <v>7.0831929651800603E-3</v>
      </c>
      <c r="P32" s="123"/>
      <c r="Q32" s="123"/>
      <c r="R32" s="155">
        <f>28207+20005</f>
        <v>48212</v>
      </c>
      <c r="S32" s="129">
        <f>R32/S$8</f>
        <v>52.177489177489178</v>
      </c>
      <c r="T32" s="220">
        <f t="shared" ref="T32:T40" si="10">R32/R$18</f>
        <v>5.2771222542808478E-2</v>
      </c>
      <c r="U32" s="129"/>
      <c r="V32" s="123"/>
      <c r="W32" s="93"/>
      <c r="X32" s="123"/>
      <c r="Y32" s="156">
        <f t="shared" ref="Y32:Y40" si="11">Z$8*Z32</f>
        <v>595</v>
      </c>
      <c r="Z32" s="131">
        <v>595</v>
      </c>
      <c r="AA32" s="158">
        <f t="shared" ref="AA32:AA40" si="12">Y32/AA$8</f>
        <v>12.395833333333334</v>
      </c>
      <c r="AB32" s="221">
        <f t="shared" ref="AB32:AB40" si="13">Y32/Y$18</f>
        <v>8.2638888888888887E-2</v>
      </c>
      <c r="AC32" s="123"/>
      <c r="AD32" s="123"/>
      <c r="AE32" s="123"/>
      <c r="AF32" s="123"/>
      <c r="AG32" s="151">
        <f>AH$8*AH32</f>
        <v>260</v>
      </c>
      <c r="AH32" s="133">
        <v>260</v>
      </c>
      <c r="AI32" s="152">
        <f t="shared" ref="AI32:AI40" si="14">AG32/AI$8</f>
        <v>5.7777777777777777</v>
      </c>
      <c r="AJ32" s="222">
        <f t="shared" ref="AJ32:AJ40" si="15">AG32/AG$18</f>
        <v>3.7115773232903763E-2</v>
      </c>
      <c r="AK32" s="123"/>
      <c r="AL32" s="123"/>
    </row>
    <row r="33" spans="1:38" s="92" customFormat="1" ht="28.2">
      <c r="A33" s="93"/>
      <c r="B33" s="94"/>
      <c r="C33" s="93" t="s">
        <v>36</v>
      </c>
      <c r="D33" s="93"/>
      <c r="E33" s="123"/>
      <c r="F33" s="123"/>
      <c r="G33" s="154">
        <v>0</v>
      </c>
      <c r="H33" s="125">
        <f t="shared" si="4"/>
        <v>0</v>
      </c>
      <c r="I33" s="125">
        <f t="shared" si="5"/>
        <v>0</v>
      </c>
      <c r="J33" s="142">
        <f t="shared" si="6"/>
        <v>0</v>
      </c>
      <c r="K33" s="123"/>
      <c r="L33" s="143">
        <f t="shared" si="7"/>
        <v>0</v>
      </c>
      <c r="M33" s="127">
        <v>0</v>
      </c>
      <c r="N33" s="127">
        <f t="shared" si="8"/>
        <v>0</v>
      </c>
      <c r="O33" s="145">
        <f t="shared" si="9"/>
        <v>0</v>
      </c>
      <c r="P33" s="123"/>
      <c r="Q33" s="123"/>
      <c r="R33" s="155">
        <v>0</v>
      </c>
      <c r="S33" s="129">
        <f t="shared" ref="S33:S40" si="16">R33/S$8</f>
        <v>0</v>
      </c>
      <c r="T33" s="147">
        <f t="shared" si="10"/>
        <v>0</v>
      </c>
      <c r="U33" s="129"/>
      <c r="V33" s="123"/>
      <c r="W33" s="93"/>
      <c r="X33" s="123"/>
      <c r="Y33" s="156">
        <f t="shared" si="11"/>
        <v>385</v>
      </c>
      <c r="Z33" s="131">
        <v>385</v>
      </c>
      <c r="AA33" s="158">
        <f t="shared" si="12"/>
        <v>8.0208333333333339</v>
      </c>
      <c r="AB33" s="221">
        <f t="shared" si="13"/>
        <v>5.347222222222222E-2</v>
      </c>
      <c r="AC33" s="123"/>
      <c r="AD33" s="123"/>
      <c r="AE33" s="123"/>
      <c r="AF33" s="123"/>
      <c r="AG33" s="151">
        <f t="shared" ref="AG33:AG40" si="17">AH$8*AH33</f>
        <v>1200</v>
      </c>
      <c r="AH33" s="133">
        <v>1200</v>
      </c>
      <c r="AI33" s="152">
        <f t="shared" si="14"/>
        <v>26.666666666666668</v>
      </c>
      <c r="AJ33" s="222">
        <f t="shared" si="15"/>
        <v>0.17130356876724812</v>
      </c>
      <c r="AK33" s="123"/>
      <c r="AL33" s="123"/>
    </row>
    <row r="34" spans="1:38" s="92" customFormat="1" ht="28.2">
      <c r="A34" s="93"/>
      <c r="B34" s="94"/>
      <c r="C34" s="93" t="s">
        <v>37</v>
      </c>
      <c r="D34" s="93"/>
      <c r="E34" s="123"/>
      <c r="F34" s="123"/>
      <c r="G34" s="154">
        <v>0</v>
      </c>
      <c r="H34" s="125">
        <f t="shared" si="4"/>
        <v>0</v>
      </c>
      <c r="I34" s="125">
        <f t="shared" si="5"/>
        <v>0</v>
      </c>
      <c r="J34" s="142">
        <f t="shared" si="6"/>
        <v>0</v>
      </c>
      <c r="K34" s="123"/>
      <c r="L34" s="143">
        <f t="shared" si="7"/>
        <v>0</v>
      </c>
      <c r="M34" s="127">
        <v>0</v>
      </c>
      <c r="N34" s="127">
        <f t="shared" si="8"/>
        <v>0</v>
      </c>
      <c r="O34" s="145">
        <f t="shared" si="9"/>
        <v>0</v>
      </c>
      <c r="P34" s="123"/>
      <c r="Q34" s="123"/>
      <c r="R34" s="155">
        <v>6063</v>
      </c>
      <c r="S34" s="129">
        <f t="shared" si="16"/>
        <v>6.5616883116883118</v>
      </c>
      <c r="T34" s="220">
        <f t="shared" si="10"/>
        <v>6.6363544818105E-3</v>
      </c>
      <c r="U34" s="129"/>
      <c r="V34" s="123"/>
      <c r="W34" s="93"/>
      <c r="X34" s="123"/>
      <c r="Y34" s="156">
        <f t="shared" si="11"/>
        <v>0</v>
      </c>
      <c r="Z34" s="131">
        <v>0</v>
      </c>
      <c r="AA34" s="131">
        <f t="shared" si="12"/>
        <v>0</v>
      </c>
      <c r="AB34" s="150">
        <f t="shared" si="13"/>
        <v>0</v>
      </c>
      <c r="AC34" s="123"/>
      <c r="AD34" s="123"/>
      <c r="AE34" s="123"/>
      <c r="AF34" s="123"/>
      <c r="AG34" s="151">
        <f t="shared" si="17"/>
        <v>0</v>
      </c>
      <c r="AH34" s="133">
        <v>0</v>
      </c>
      <c r="AI34" s="133">
        <f t="shared" si="14"/>
        <v>0</v>
      </c>
      <c r="AJ34" s="153">
        <f t="shared" si="15"/>
        <v>0</v>
      </c>
      <c r="AK34" s="123"/>
      <c r="AL34" s="123"/>
    </row>
    <row r="35" spans="1:38" s="92" customFormat="1" ht="28.2">
      <c r="A35" s="93"/>
      <c r="B35" s="94"/>
      <c r="C35" s="93" t="s">
        <v>38</v>
      </c>
      <c r="D35" s="93"/>
      <c r="E35" s="123"/>
      <c r="F35" s="123"/>
      <c r="G35" s="154">
        <f>23577</f>
        <v>23577</v>
      </c>
      <c r="H35" s="125">
        <f t="shared" si="4"/>
        <v>312.83544858058394</v>
      </c>
      <c r="I35" s="141">
        <f t="shared" si="5"/>
        <v>0.92487839322140275</v>
      </c>
      <c r="J35" s="218">
        <f t="shared" si="6"/>
        <v>5.9405472989414621E-2</v>
      </c>
      <c r="K35" s="123"/>
      <c r="L35" s="143">
        <f t="shared" si="7"/>
        <v>2700.67</v>
      </c>
      <c r="M35" s="127">
        <f>65.87</f>
        <v>65.87</v>
      </c>
      <c r="N35" s="144">
        <f t="shared" si="8"/>
        <v>4.7050000000000001</v>
      </c>
      <c r="O35" s="219">
        <f t="shared" si="9"/>
        <v>9.4831284678132226E-3</v>
      </c>
      <c r="P35" s="123"/>
      <c r="Q35" s="123"/>
      <c r="R35" s="155">
        <f>16976+10682+51890</f>
        <v>79548</v>
      </c>
      <c r="S35" s="129">
        <f t="shared" si="16"/>
        <v>86.090909090909093</v>
      </c>
      <c r="T35" s="220">
        <f t="shared" si="10"/>
        <v>8.7070546976589419E-2</v>
      </c>
      <c r="U35" s="129"/>
      <c r="V35" s="123"/>
      <c r="W35" s="93"/>
      <c r="X35" s="123"/>
      <c r="Y35" s="156">
        <f t="shared" si="11"/>
        <v>300</v>
      </c>
      <c r="Z35" s="131">
        <v>300</v>
      </c>
      <c r="AA35" s="158">
        <f t="shared" si="12"/>
        <v>6.25</v>
      </c>
      <c r="AB35" s="221">
        <f t="shared" si="13"/>
        <v>4.1666666666666664E-2</v>
      </c>
      <c r="AC35" s="123"/>
      <c r="AD35" s="123"/>
      <c r="AE35" s="123"/>
      <c r="AF35" s="123"/>
      <c r="AG35" s="151">
        <f t="shared" si="17"/>
        <v>84</v>
      </c>
      <c r="AH35" s="133">
        <v>84</v>
      </c>
      <c r="AI35" s="152">
        <f t="shared" si="14"/>
        <v>1.8666666666666667</v>
      </c>
      <c r="AJ35" s="222">
        <f t="shared" si="15"/>
        <v>1.1991249813707368E-2</v>
      </c>
      <c r="AK35" s="123"/>
      <c r="AL35" s="123"/>
    </row>
    <row r="36" spans="1:38" s="92" customFormat="1" ht="28.2">
      <c r="A36" s="93"/>
      <c r="B36" s="94"/>
      <c r="C36" s="93" t="s">
        <v>39</v>
      </c>
      <c r="D36" s="93"/>
      <c r="E36" s="123"/>
      <c r="F36" s="123"/>
      <c r="G36" s="154">
        <v>6268</v>
      </c>
      <c r="H36" s="125">
        <f t="shared" si="4"/>
        <v>83.16802781113374</v>
      </c>
      <c r="I36" s="141">
        <f t="shared" si="5"/>
        <v>0.24588106072493332</v>
      </c>
      <c r="J36" s="218">
        <f t="shared" si="6"/>
        <v>1.5793082440414424E-2</v>
      </c>
      <c r="K36" s="123"/>
      <c r="L36" s="143">
        <f t="shared" si="7"/>
        <v>302.17</v>
      </c>
      <c r="M36" s="127">
        <f>7.37</f>
        <v>7.37</v>
      </c>
      <c r="N36" s="144">
        <f t="shared" si="8"/>
        <v>0.52642857142857147</v>
      </c>
      <c r="O36" s="219">
        <f t="shared" si="9"/>
        <v>1.0610392714101025E-3</v>
      </c>
      <c r="P36" s="123"/>
      <c r="Q36" s="123"/>
      <c r="R36" s="155">
        <v>0</v>
      </c>
      <c r="S36" s="129">
        <f t="shared" si="16"/>
        <v>0</v>
      </c>
      <c r="T36" s="147">
        <f t="shared" si="10"/>
        <v>0</v>
      </c>
      <c r="U36" s="129"/>
      <c r="V36" s="123"/>
      <c r="W36" s="93"/>
      <c r="X36" s="123"/>
      <c r="Y36" s="156">
        <f t="shared" si="11"/>
        <v>0</v>
      </c>
      <c r="Z36" s="131">
        <v>0</v>
      </c>
      <c r="AA36" s="131">
        <f t="shared" si="12"/>
        <v>0</v>
      </c>
      <c r="AB36" s="221">
        <f t="shared" si="13"/>
        <v>0</v>
      </c>
      <c r="AC36" s="123"/>
      <c r="AD36" s="123"/>
      <c r="AE36" s="123"/>
      <c r="AF36" s="123"/>
      <c r="AG36" s="151">
        <f t="shared" si="17"/>
        <v>0</v>
      </c>
      <c r="AH36" s="133">
        <v>0</v>
      </c>
      <c r="AI36" s="152">
        <f t="shared" si="14"/>
        <v>0</v>
      </c>
      <c r="AJ36" s="222">
        <f t="shared" si="15"/>
        <v>0</v>
      </c>
      <c r="AK36" s="123"/>
      <c r="AL36" s="123"/>
    </row>
    <row r="37" spans="1:38" s="92" customFormat="1" ht="28.2">
      <c r="A37" s="93"/>
      <c r="B37" s="94"/>
      <c r="C37" s="93" t="s">
        <v>40</v>
      </c>
      <c r="D37" s="93"/>
      <c r="E37" s="123"/>
      <c r="F37" s="123"/>
      <c r="G37" s="154">
        <f>2141</f>
        <v>2141</v>
      </c>
      <c r="H37" s="125">
        <f t="shared" si="4"/>
        <v>28.408223922086368</v>
      </c>
      <c r="I37" s="141">
        <f t="shared" si="5"/>
        <v>8.3987133218264551E-2</v>
      </c>
      <c r="J37" s="218">
        <f t="shared" si="6"/>
        <v>5.3945420397139886E-3</v>
      </c>
      <c r="K37" s="123"/>
      <c r="L37" s="143">
        <f t="shared" si="7"/>
        <v>10399.65</v>
      </c>
      <c r="M37" s="127">
        <f>253.65</f>
        <v>253.65</v>
      </c>
      <c r="N37" s="144">
        <f t="shared" si="8"/>
        <v>18.117857142857144</v>
      </c>
      <c r="O37" s="219">
        <f t="shared" si="9"/>
        <v>3.6517314951583779E-2</v>
      </c>
      <c r="P37" s="123"/>
      <c r="Q37" s="123"/>
      <c r="R37" s="155">
        <v>0</v>
      </c>
      <c r="S37" s="129">
        <f t="shared" si="16"/>
        <v>0</v>
      </c>
      <c r="T37" s="147">
        <f t="shared" si="10"/>
        <v>0</v>
      </c>
      <c r="U37" s="129"/>
      <c r="V37" s="123"/>
      <c r="W37" s="93"/>
      <c r="X37" s="123"/>
      <c r="Y37" s="156">
        <f t="shared" si="11"/>
        <v>44</v>
      </c>
      <c r="Z37" s="131">
        <v>44</v>
      </c>
      <c r="AA37" s="158">
        <f t="shared" si="12"/>
        <v>0.91666666666666663</v>
      </c>
      <c r="AB37" s="221">
        <f t="shared" si="13"/>
        <v>6.1111111111111114E-3</v>
      </c>
      <c r="AC37" s="123"/>
      <c r="AD37" s="123"/>
      <c r="AE37" s="123"/>
      <c r="AF37" s="123"/>
      <c r="AG37" s="151">
        <f t="shared" si="17"/>
        <v>80</v>
      </c>
      <c r="AH37" s="133">
        <v>80</v>
      </c>
      <c r="AI37" s="152">
        <f t="shared" si="14"/>
        <v>1.7777777777777777</v>
      </c>
      <c r="AJ37" s="222">
        <f t="shared" si="15"/>
        <v>1.1420237917816541E-2</v>
      </c>
      <c r="AK37" s="123"/>
      <c r="AL37" s="123"/>
    </row>
    <row r="38" spans="1:38" s="92" customFormat="1" ht="28.2">
      <c r="A38" s="93"/>
      <c r="B38" s="94"/>
      <c r="C38" s="93" t="s">
        <v>41</v>
      </c>
      <c r="D38" s="93"/>
      <c r="E38" s="123"/>
      <c r="F38" s="123"/>
      <c r="G38" s="154">
        <f>2569</f>
        <v>2569</v>
      </c>
      <c r="H38" s="125">
        <f t="shared" si="4"/>
        <v>34.087214972367995</v>
      </c>
      <c r="I38" s="141">
        <f t="shared" si="5"/>
        <v>0.10077671426329829</v>
      </c>
      <c r="J38" s="218">
        <f t="shared" si="6"/>
        <v>6.4729465203293961E-3</v>
      </c>
      <c r="K38" s="123"/>
      <c r="L38" s="143">
        <f t="shared" si="7"/>
        <v>1546.52</v>
      </c>
      <c r="M38" s="127">
        <f>37.72</f>
        <v>37.72</v>
      </c>
      <c r="N38" s="144">
        <f t="shared" si="8"/>
        <v>2.6942857142857144</v>
      </c>
      <c r="O38" s="219">
        <f t="shared" si="9"/>
        <v>5.4304479399713791E-3</v>
      </c>
      <c r="P38" s="123"/>
      <c r="Q38" s="123"/>
      <c r="R38" s="155">
        <f>7548</f>
        <v>7548</v>
      </c>
      <c r="S38" s="129">
        <f t="shared" si="16"/>
        <v>8.1688311688311686</v>
      </c>
      <c r="T38" s="220">
        <f t="shared" si="10"/>
        <v>8.2617851935849664E-3</v>
      </c>
      <c r="U38" s="129"/>
      <c r="V38" s="123"/>
      <c r="W38" s="93"/>
      <c r="X38" s="123"/>
      <c r="Y38" s="156">
        <f t="shared" si="11"/>
        <v>67</v>
      </c>
      <c r="Z38" s="131">
        <v>67</v>
      </c>
      <c r="AA38" s="158">
        <f t="shared" si="12"/>
        <v>1.3958333333333333</v>
      </c>
      <c r="AB38" s="221">
        <f t="shared" si="13"/>
        <v>9.3055555555555548E-3</v>
      </c>
      <c r="AC38" s="123"/>
      <c r="AD38" s="123"/>
      <c r="AE38" s="123"/>
      <c r="AF38" s="123"/>
      <c r="AG38" s="151">
        <f t="shared" si="17"/>
        <v>67</v>
      </c>
      <c r="AH38" s="133">
        <v>67</v>
      </c>
      <c r="AI38" s="152">
        <f t="shared" si="14"/>
        <v>1.4888888888888889</v>
      </c>
      <c r="AJ38" s="222">
        <f t="shared" si="15"/>
        <v>9.5644492561713541E-3</v>
      </c>
      <c r="AK38" s="123"/>
      <c r="AL38" s="123"/>
    </row>
    <row r="39" spans="1:38" s="92" customFormat="1" ht="28.2">
      <c r="A39" s="93"/>
      <c r="B39" s="94"/>
      <c r="C39" s="74" t="s">
        <v>63</v>
      </c>
      <c r="D39" s="93"/>
      <c r="E39" s="123"/>
      <c r="F39" s="123"/>
      <c r="G39" s="154">
        <v>25781</v>
      </c>
      <c r="H39" s="125">
        <f t="shared" si="4"/>
        <v>342.07959875539871</v>
      </c>
      <c r="I39" s="141">
        <f t="shared" si="5"/>
        <v>1.0113368900047073</v>
      </c>
      <c r="J39" s="218">
        <f t="shared" si="6"/>
        <v>6.4958752137256576E-2</v>
      </c>
      <c r="K39" s="123"/>
      <c r="L39" s="143">
        <f t="shared" si="7"/>
        <v>17923.149999999998</v>
      </c>
      <c r="M39" s="127">
        <f>134.86+50.31+230.39+21.59</f>
        <v>437.15</v>
      </c>
      <c r="N39" s="144">
        <f t="shared" si="8"/>
        <v>31.224999999999998</v>
      </c>
      <c r="O39" s="219">
        <f t="shared" si="9"/>
        <v>6.2935321234318345E-2</v>
      </c>
      <c r="P39" s="123"/>
      <c r="Q39" s="123"/>
      <c r="R39" s="155">
        <f>32629+66842</f>
        <v>99471</v>
      </c>
      <c r="S39" s="129">
        <f t="shared" si="16"/>
        <v>107.65259740259741</v>
      </c>
      <c r="T39" s="220">
        <f t="shared" si="10"/>
        <v>0.10887758810162827</v>
      </c>
      <c r="U39" s="129"/>
      <c r="V39" s="123"/>
      <c r="W39" s="93"/>
      <c r="X39" s="123"/>
      <c r="Y39" s="156">
        <f t="shared" si="11"/>
        <v>0</v>
      </c>
      <c r="Z39" s="131">
        <v>0</v>
      </c>
      <c r="AA39" s="131">
        <f t="shared" si="12"/>
        <v>0</v>
      </c>
      <c r="AB39" s="150">
        <f t="shared" si="13"/>
        <v>0</v>
      </c>
      <c r="AC39" s="123"/>
      <c r="AD39" s="123"/>
      <c r="AE39" s="123"/>
      <c r="AF39" s="123"/>
      <c r="AG39" s="151">
        <f t="shared" si="17"/>
        <v>82</v>
      </c>
      <c r="AH39" s="133">
        <v>82</v>
      </c>
      <c r="AI39" s="152">
        <f t="shared" si="14"/>
        <v>1.8222222222222222</v>
      </c>
      <c r="AJ39" s="222">
        <f t="shared" si="15"/>
        <v>1.1705743865761955E-2</v>
      </c>
      <c r="AK39" s="123"/>
      <c r="AL39" s="123"/>
    </row>
    <row r="40" spans="1:38" s="92" customFormat="1" ht="28.2">
      <c r="A40" s="93"/>
      <c r="B40" s="94"/>
      <c r="C40" s="93" t="s">
        <v>57</v>
      </c>
      <c r="D40" s="93"/>
      <c r="E40" s="123"/>
      <c r="F40" s="123"/>
      <c r="G40" s="154">
        <v>0</v>
      </c>
      <c r="H40" s="125">
        <f t="shared" si="4"/>
        <v>0</v>
      </c>
      <c r="I40" s="125">
        <f t="shared" si="5"/>
        <v>0</v>
      </c>
      <c r="J40" s="142">
        <f t="shared" si="6"/>
        <v>0</v>
      </c>
      <c r="K40" s="123"/>
      <c r="L40" s="143">
        <f t="shared" si="7"/>
        <v>0</v>
      </c>
      <c r="M40" s="127">
        <v>0</v>
      </c>
      <c r="N40" s="127">
        <f t="shared" si="8"/>
        <v>0</v>
      </c>
      <c r="O40" s="145">
        <f t="shared" si="9"/>
        <v>0</v>
      </c>
      <c r="P40" s="123"/>
      <c r="Q40" s="123"/>
      <c r="R40" s="155">
        <v>0</v>
      </c>
      <c r="S40" s="129">
        <f t="shared" si="16"/>
        <v>0</v>
      </c>
      <c r="T40" s="147">
        <f t="shared" si="10"/>
        <v>0</v>
      </c>
      <c r="U40" s="129"/>
      <c r="V40" s="123"/>
      <c r="W40" s="93"/>
      <c r="X40" s="123"/>
      <c r="Y40" s="156">
        <f t="shared" si="11"/>
        <v>0</v>
      </c>
      <c r="Z40" s="131">
        <v>0</v>
      </c>
      <c r="AA40" s="131">
        <f t="shared" si="12"/>
        <v>0</v>
      </c>
      <c r="AB40" s="150">
        <f t="shared" si="13"/>
        <v>0</v>
      </c>
      <c r="AC40" s="123"/>
      <c r="AD40" s="123"/>
      <c r="AE40" s="123"/>
      <c r="AF40" s="123"/>
      <c r="AG40" s="151">
        <f t="shared" si="17"/>
        <v>0</v>
      </c>
      <c r="AH40" s="133">
        <v>0</v>
      </c>
      <c r="AI40" s="133">
        <f t="shared" si="14"/>
        <v>0</v>
      </c>
      <c r="AJ40" s="153">
        <f t="shared" si="15"/>
        <v>0</v>
      </c>
      <c r="AK40" s="123"/>
      <c r="AL40" s="123"/>
    </row>
    <row r="41" spans="1:38" s="92" customFormat="1" ht="14.25" customHeight="1">
      <c r="A41" s="93"/>
      <c r="B41" s="94"/>
      <c r="C41" s="93"/>
      <c r="D41" s="93"/>
      <c r="E41" s="123"/>
      <c r="F41" s="123"/>
      <c r="G41" s="154"/>
      <c r="H41" s="125"/>
      <c r="I41" s="141"/>
      <c r="J41" s="218"/>
      <c r="K41" s="123"/>
      <c r="L41" s="223"/>
      <c r="M41" s="127"/>
      <c r="N41" s="144"/>
      <c r="O41" s="219"/>
      <c r="P41" s="123"/>
      <c r="Q41" s="123"/>
      <c r="R41" s="155"/>
      <c r="S41" s="129"/>
      <c r="T41" s="220"/>
      <c r="U41" s="129"/>
      <c r="V41" s="123"/>
      <c r="W41" s="93"/>
      <c r="X41" s="123"/>
      <c r="Y41" s="156"/>
      <c r="Z41" s="131"/>
      <c r="AA41" s="158"/>
      <c r="AB41" s="221"/>
      <c r="AC41" s="123"/>
      <c r="AD41" s="123"/>
      <c r="AE41" s="123"/>
      <c r="AF41" s="123"/>
      <c r="AG41" s="224"/>
      <c r="AH41" s="133"/>
      <c r="AI41" s="152"/>
      <c r="AJ41" s="222"/>
      <c r="AK41" s="112"/>
      <c r="AL41" s="112"/>
    </row>
    <row r="42" spans="1:38" s="92" customFormat="1" ht="28.2">
      <c r="A42" s="93"/>
      <c r="B42" s="94"/>
      <c r="C42" s="188" t="s">
        <v>33</v>
      </c>
      <c r="D42" s="112"/>
      <c r="E42" s="112"/>
      <c r="F42" s="112"/>
      <c r="G42" s="225">
        <f>SUM(G31:G41)</f>
        <v>77078</v>
      </c>
      <c r="H42" s="226">
        <f>SUM(H31:H41)</f>
        <v>1022.7225985364655</v>
      </c>
      <c r="I42" s="227">
        <f>SUM(I31:I41)</f>
        <v>3.0236152518437156</v>
      </c>
      <c r="J42" s="228">
        <f>G42/G$18</f>
        <v>0.19420855270297749</v>
      </c>
      <c r="K42" s="112"/>
      <c r="L42" s="229">
        <f>SUM(L31:L41)</f>
        <v>34889.360000000001</v>
      </c>
      <c r="M42" s="230">
        <f>SUM(M31:M41)</f>
        <v>850.96</v>
      </c>
      <c r="N42" s="231">
        <f>SUM(N31:N41)</f>
        <v>60.782857142857139</v>
      </c>
      <c r="O42" s="232">
        <f>L42/L$18</f>
        <v>0.1225104448302769</v>
      </c>
      <c r="P42" s="112"/>
      <c r="Q42" s="112"/>
      <c r="R42" s="233">
        <f>SUM(R31:R41)</f>
        <v>240842</v>
      </c>
      <c r="S42" s="234">
        <f>SUM(S31:S41)</f>
        <v>260.65151515151513</v>
      </c>
      <c r="T42" s="235">
        <f>R42/R$18</f>
        <v>0.26361749729642164</v>
      </c>
      <c r="U42" s="118"/>
      <c r="V42" s="112"/>
      <c r="W42" s="112"/>
      <c r="X42" s="112"/>
      <c r="Y42" s="236">
        <f>SUM(Y31:Y41)</f>
        <v>1391</v>
      </c>
      <c r="Z42" s="237">
        <f>SUM(Z31:Z41)</f>
        <v>1391</v>
      </c>
      <c r="AA42" s="238">
        <f>SUM(AA31:AA41)</f>
        <v>28.979166666666668</v>
      </c>
      <c r="AB42" s="239">
        <f>Y42/Y$18</f>
        <v>0.19319444444444445</v>
      </c>
      <c r="AC42" s="112"/>
      <c r="AD42" s="112"/>
      <c r="AE42" s="112"/>
      <c r="AF42" s="112"/>
      <c r="AG42" s="240">
        <f>SUM(AG31:AG41)</f>
        <v>1773</v>
      </c>
      <c r="AH42" s="241">
        <f>SUM(AH31:AH41)</f>
        <v>1773</v>
      </c>
      <c r="AI42" s="242">
        <f>SUM(AI31:AI41)</f>
        <v>39.4</v>
      </c>
      <c r="AJ42" s="243">
        <f>AG42/AG$18</f>
        <v>0.25310102285360908</v>
      </c>
      <c r="AK42" s="244"/>
      <c r="AL42" s="244"/>
    </row>
    <row r="43" spans="1:38" s="92" customFormat="1" ht="28.2">
      <c r="A43" s="245"/>
      <c r="B43" s="246"/>
      <c r="C43" s="247"/>
      <c r="D43" s="245"/>
      <c r="E43" s="248"/>
      <c r="F43" s="248"/>
      <c r="G43" s="249"/>
      <c r="H43" s="250"/>
      <c r="I43" s="251"/>
      <c r="J43" s="218"/>
      <c r="K43" s="248"/>
      <c r="L43" s="252"/>
      <c r="M43" s="253"/>
      <c r="N43" s="254"/>
      <c r="O43" s="219"/>
      <c r="P43" s="248"/>
      <c r="Q43" s="255"/>
      <c r="R43" s="256"/>
      <c r="S43" s="257"/>
      <c r="T43" s="220"/>
      <c r="U43" s="257"/>
      <c r="V43" s="248"/>
      <c r="W43" s="245"/>
      <c r="X43" s="248"/>
      <c r="Y43" s="258"/>
      <c r="Z43" s="259"/>
      <c r="AA43" s="260"/>
      <c r="AB43" s="221"/>
      <c r="AC43" s="255"/>
      <c r="AD43" s="255"/>
      <c r="AE43" s="248"/>
      <c r="AF43" s="248"/>
      <c r="AG43" s="261"/>
      <c r="AH43" s="262"/>
      <c r="AI43" s="263"/>
      <c r="AJ43" s="222"/>
      <c r="AK43" s="123"/>
      <c r="AL43" s="123"/>
    </row>
    <row r="44" spans="1:38" s="92" customFormat="1" ht="28.2">
      <c r="A44" s="93"/>
      <c r="B44" s="94"/>
      <c r="C44" s="93"/>
      <c r="D44" s="93"/>
      <c r="E44" s="123"/>
      <c r="F44" s="123"/>
      <c r="G44" s="207"/>
      <c r="H44" s="125"/>
      <c r="I44" s="125"/>
      <c r="J44" s="264"/>
      <c r="K44" s="123"/>
      <c r="L44" s="209"/>
      <c r="M44" s="127"/>
      <c r="N44" s="144"/>
      <c r="O44" s="265"/>
      <c r="P44" s="123"/>
      <c r="Q44" s="123"/>
      <c r="R44" s="211"/>
      <c r="S44" s="129"/>
      <c r="T44" s="266"/>
      <c r="U44" s="129"/>
      <c r="V44" s="123"/>
      <c r="W44" s="93"/>
      <c r="X44" s="123"/>
      <c r="Y44" s="213"/>
      <c r="Z44" s="131"/>
      <c r="AA44" s="158"/>
      <c r="AB44" s="267"/>
      <c r="AC44" s="123"/>
      <c r="AD44" s="123"/>
      <c r="AE44" s="123"/>
      <c r="AF44" s="123"/>
      <c r="AG44" s="215"/>
      <c r="AH44" s="133"/>
      <c r="AI44" s="152"/>
      <c r="AJ44" s="268"/>
      <c r="AK44" s="123"/>
      <c r="AL44" s="123"/>
    </row>
    <row r="45" spans="1:38" s="92" customFormat="1" ht="28.2">
      <c r="A45" s="93"/>
      <c r="B45" s="94"/>
      <c r="C45" s="269" t="s">
        <v>42</v>
      </c>
      <c r="D45" s="93"/>
      <c r="E45" s="123"/>
      <c r="F45" s="123"/>
      <c r="G45" s="154">
        <f>H$8*H45</f>
        <v>0</v>
      </c>
      <c r="H45" s="125">
        <v>0</v>
      </c>
      <c r="I45" s="125">
        <f>G45/I$8</f>
        <v>0</v>
      </c>
      <c r="J45" s="142">
        <f>G45/G$18</f>
        <v>0</v>
      </c>
      <c r="K45" s="123"/>
      <c r="L45" s="223">
        <f>M$8*M45</f>
        <v>0</v>
      </c>
      <c r="M45" s="127">
        <v>0</v>
      </c>
      <c r="N45" s="127">
        <f>L45/N$8</f>
        <v>0</v>
      </c>
      <c r="O45" s="145">
        <f>L45/L$18</f>
        <v>0</v>
      </c>
      <c r="P45" s="123"/>
      <c r="Q45" s="123"/>
      <c r="R45" s="155">
        <v>-91261</v>
      </c>
      <c r="S45" s="129">
        <f>R45/$S$8</f>
        <v>-98.76731601731602</v>
      </c>
      <c r="T45" s="220">
        <f>R45/R$18</f>
        <v>-9.9891200126094024E-2</v>
      </c>
      <c r="U45" s="129"/>
      <c r="V45" s="123"/>
      <c r="W45" s="93"/>
      <c r="X45" s="123"/>
      <c r="Y45" s="156">
        <f>Z$8*Z45</f>
        <v>0</v>
      </c>
      <c r="Z45" s="131">
        <v>0</v>
      </c>
      <c r="AA45" s="131">
        <f>Y45/AA$8</f>
        <v>0</v>
      </c>
      <c r="AB45" s="150">
        <f>Y45/Y$18</f>
        <v>0</v>
      </c>
      <c r="AC45" s="123"/>
      <c r="AD45" s="123"/>
      <c r="AE45" s="123"/>
      <c r="AF45" s="123"/>
      <c r="AG45" s="151">
        <f>AH$8*AH45</f>
        <v>0</v>
      </c>
      <c r="AH45" s="133">
        <v>0</v>
      </c>
      <c r="AI45" s="133">
        <f>AG45/AI$8</f>
        <v>0</v>
      </c>
      <c r="AJ45" s="153">
        <f>AG45/AG$18</f>
        <v>0</v>
      </c>
      <c r="AK45" s="123"/>
      <c r="AL45" s="123"/>
    </row>
    <row r="46" spans="1:38" s="92" customFormat="1" ht="28.2">
      <c r="A46" s="93"/>
      <c r="B46" s="94"/>
      <c r="C46" s="269" t="s">
        <v>43</v>
      </c>
      <c r="D46" s="93"/>
      <c r="E46" s="123"/>
      <c r="F46" s="123"/>
      <c r="G46" s="154">
        <f>H$8*H46</f>
        <v>0</v>
      </c>
      <c r="H46" s="125">
        <v>0</v>
      </c>
      <c r="I46" s="125">
        <f>G46/I$8</f>
        <v>0</v>
      </c>
      <c r="J46" s="142">
        <f>G46/G$18</f>
        <v>0</v>
      </c>
      <c r="K46" s="123"/>
      <c r="L46" s="223">
        <f>M$8*M46</f>
        <v>0</v>
      </c>
      <c r="M46" s="127">
        <v>0</v>
      </c>
      <c r="N46" s="127">
        <f>L46/N$8</f>
        <v>0</v>
      </c>
      <c r="O46" s="145">
        <f>L46/L$18</f>
        <v>0</v>
      </c>
      <c r="P46" s="123"/>
      <c r="Q46" s="123"/>
      <c r="R46" s="155">
        <v>0</v>
      </c>
      <c r="S46" s="129">
        <f>R46/$S$8</f>
        <v>0</v>
      </c>
      <c r="T46" s="147">
        <f>R46/R$18</f>
        <v>0</v>
      </c>
      <c r="U46" s="129"/>
      <c r="V46" s="123"/>
      <c r="W46" s="93"/>
      <c r="X46" s="123"/>
      <c r="Y46" s="156">
        <f>Z$8*Z46</f>
        <v>0</v>
      </c>
      <c r="Z46" s="131">
        <v>0</v>
      </c>
      <c r="AA46" s="131">
        <f>Y46/AA$8</f>
        <v>0</v>
      </c>
      <c r="AB46" s="150">
        <f>Y46/Y$18</f>
        <v>0</v>
      </c>
      <c r="AC46" s="123"/>
      <c r="AD46" s="123"/>
      <c r="AE46" s="123"/>
      <c r="AF46" s="123"/>
      <c r="AG46" s="151">
        <f>AH$8*AH46</f>
        <v>0</v>
      </c>
      <c r="AH46" s="133">
        <v>0</v>
      </c>
      <c r="AI46" s="133">
        <f>AG46/AI$8</f>
        <v>0</v>
      </c>
      <c r="AJ46" s="153">
        <f>AG46/AG$18</f>
        <v>0</v>
      </c>
      <c r="AK46" s="166"/>
      <c r="AL46" s="166"/>
    </row>
    <row r="47" spans="1:38" s="92" customFormat="1" ht="28.2">
      <c r="A47" s="93"/>
      <c r="B47" s="94"/>
      <c r="C47" s="165" t="s">
        <v>44</v>
      </c>
      <c r="D47" s="95"/>
      <c r="E47" s="166"/>
      <c r="F47" s="166"/>
      <c r="G47" s="270">
        <f>G45-G46</f>
        <v>0</v>
      </c>
      <c r="H47" s="168">
        <f>H45-H46</f>
        <v>0</v>
      </c>
      <c r="I47" s="168">
        <f>I45-I46</f>
        <v>0</v>
      </c>
      <c r="J47" s="170">
        <f>G47/G$18</f>
        <v>0</v>
      </c>
      <c r="K47" s="166"/>
      <c r="L47" s="271">
        <f>L45-L46</f>
        <v>0</v>
      </c>
      <c r="M47" s="172">
        <f>M45-M46</f>
        <v>0</v>
      </c>
      <c r="N47" s="172">
        <f>N45-N46</f>
        <v>0</v>
      </c>
      <c r="O47" s="174">
        <f>L47/L$18</f>
        <v>0</v>
      </c>
      <c r="P47" s="166"/>
      <c r="Q47" s="166"/>
      <c r="R47" s="272">
        <f>R45-R46</f>
        <v>-91261</v>
      </c>
      <c r="S47" s="176">
        <f>S45-S46</f>
        <v>-98.76731601731602</v>
      </c>
      <c r="T47" s="235">
        <f>R47/R$18</f>
        <v>-9.9891200126094024E-2</v>
      </c>
      <c r="U47" s="178"/>
      <c r="V47" s="166"/>
      <c r="W47" s="95"/>
      <c r="X47" s="166"/>
      <c r="Y47" s="273">
        <f>Y45-Y46</f>
        <v>0</v>
      </c>
      <c r="Z47" s="180">
        <f>Z45-Z46</f>
        <v>0</v>
      </c>
      <c r="AA47" s="181">
        <f>AA45-AA46</f>
        <v>0</v>
      </c>
      <c r="AB47" s="239">
        <f>Y47/Y$18</f>
        <v>0</v>
      </c>
      <c r="AC47" s="166"/>
      <c r="AD47" s="166"/>
      <c r="AE47" s="166"/>
      <c r="AF47" s="166"/>
      <c r="AG47" s="274">
        <f>AG45-AG46</f>
        <v>0</v>
      </c>
      <c r="AH47" s="184">
        <f>AH45-AH46</f>
        <v>0</v>
      </c>
      <c r="AI47" s="184">
        <f>AI45-AI46</f>
        <v>0</v>
      </c>
      <c r="AJ47" s="186">
        <f>AG47/AG$18</f>
        <v>0</v>
      </c>
      <c r="AK47" s="123"/>
      <c r="AL47" s="123"/>
    </row>
    <row r="48" spans="1:38" s="92" customFormat="1" ht="28.2">
      <c r="A48" s="93"/>
      <c r="B48" s="94"/>
      <c r="C48" s="93"/>
      <c r="D48" s="93"/>
      <c r="E48" s="123"/>
      <c r="F48" s="123"/>
      <c r="G48" s="207"/>
      <c r="H48" s="125"/>
      <c r="I48" s="141"/>
      <c r="J48" s="264"/>
      <c r="K48" s="123"/>
      <c r="L48" s="209"/>
      <c r="M48" s="127"/>
      <c r="N48" s="144"/>
      <c r="O48" s="265"/>
      <c r="P48" s="123"/>
      <c r="Q48" s="123"/>
      <c r="R48" s="211"/>
      <c r="S48" s="129"/>
      <c r="T48" s="266"/>
      <c r="U48" s="129"/>
      <c r="V48" s="123"/>
      <c r="W48" s="93"/>
      <c r="X48" s="123"/>
      <c r="Y48" s="213"/>
      <c r="Z48" s="131"/>
      <c r="AA48" s="158"/>
      <c r="AB48" s="267"/>
      <c r="AC48" s="123"/>
      <c r="AD48" s="123"/>
      <c r="AE48" s="123"/>
      <c r="AF48" s="123"/>
      <c r="AG48" s="215"/>
      <c r="AH48" s="133"/>
      <c r="AI48" s="152"/>
      <c r="AJ48" s="268"/>
      <c r="AK48" s="166"/>
      <c r="AL48" s="166"/>
    </row>
    <row r="49" spans="1:38" s="92" customFormat="1" ht="28.2">
      <c r="A49" s="93"/>
      <c r="B49" s="94"/>
      <c r="C49" s="165" t="s">
        <v>45</v>
      </c>
      <c r="D49" s="95"/>
      <c r="E49" s="166"/>
      <c r="F49" s="166"/>
      <c r="G49" s="225">
        <f>G42+G47+G29</f>
        <v>222999</v>
      </c>
      <c r="H49" s="226">
        <f>H42+H47+H29</f>
        <v>2958.9002925741884</v>
      </c>
      <c r="I49" s="227">
        <f>I42+I47+I29</f>
        <v>8.7478032323866302</v>
      </c>
      <c r="J49" s="228">
        <f>G49/G$18</f>
        <v>0.56187645040363365</v>
      </c>
      <c r="K49" s="166"/>
      <c r="L49" s="229">
        <f>L42+L47+L29</f>
        <v>60747.65</v>
      </c>
      <c r="M49" s="230">
        <f>M42+M47+M29</f>
        <v>1481.65</v>
      </c>
      <c r="N49" s="231">
        <f>N42+N47+N29</f>
        <v>105.83214285714286</v>
      </c>
      <c r="O49" s="232">
        <f>L49/L$18</f>
        <v>0.21330920440770398</v>
      </c>
      <c r="P49" s="166"/>
      <c r="Q49" s="166"/>
      <c r="R49" s="233">
        <f>R42+R47+R29</f>
        <v>357177</v>
      </c>
      <c r="S49" s="234">
        <f>S42+S47+S29</f>
        <v>386.55519480519479</v>
      </c>
      <c r="T49" s="235">
        <f>R49/R$18</f>
        <v>0.39095384871344696</v>
      </c>
      <c r="U49" s="178"/>
      <c r="V49" s="166"/>
      <c r="W49" s="95"/>
      <c r="X49" s="166"/>
      <c r="Y49" s="236">
        <f>Y42+Y47+Y29</f>
        <v>2992</v>
      </c>
      <c r="Z49" s="237">
        <f>Z42+Z47+Z29</f>
        <v>2992</v>
      </c>
      <c r="AA49" s="238">
        <f>AA42+AA47+AA29</f>
        <v>62.333333333333329</v>
      </c>
      <c r="AB49" s="239">
        <f>Y49/Y$18</f>
        <v>0.41555555555555557</v>
      </c>
      <c r="AC49" s="166"/>
      <c r="AD49" s="166"/>
      <c r="AE49" s="166"/>
      <c r="AF49" s="166"/>
      <c r="AG49" s="240">
        <f>AG42+AG47+AG29</f>
        <v>3575</v>
      </c>
      <c r="AH49" s="241">
        <f>AH42+AH47+AH29</f>
        <v>3575</v>
      </c>
      <c r="AI49" s="242">
        <f>AI42+AI47+AI29</f>
        <v>79.444444444444443</v>
      </c>
      <c r="AJ49" s="243">
        <f>AG49/AG$18</f>
        <v>0.51034188195242669</v>
      </c>
      <c r="AK49" s="275"/>
      <c r="AL49" s="275"/>
    </row>
    <row r="50" spans="1:38" s="92" customFormat="1" ht="28.2">
      <c r="A50" s="245"/>
      <c r="B50" s="246"/>
      <c r="C50" s="247"/>
      <c r="D50" s="245"/>
      <c r="E50" s="255"/>
      <c r="F50" s="255"/>
      <c r="G50" s="249"/>
      <c r="H50" s="250"/>
      <c r="I50" s="251"/>
      <c r="J50" s="218"/>
      <c r="K50" s="255"/>
      <c r="L50" s="252"/>
      <c r="M50" s="253"/>
      <c r="N50" s="254"/>
      <c r="O50" s="219"/>
      <c r="P50" s="255"/>
      <c r="Q50" s="255"/>
      <c r="R50" s="256"/>
      <c r="S50" s="257"/>
      <c r="T50" s="220"/>
      <c r="U50" s="257"/>
      <c r="V50" s="255"/>
      <c r="W50" s="245"/>
      <c r="X50" s="255"/>
      <c r="Y50" s="258"/>
      <c r="Z50" s="259"/>
      <c r="AA50" s="260"/>
      <c r="AB50" s="221"/>
      <c r="AC50" s="255"/>
      <c r="AD50" s="255"/>
      <c r="AE50" s="255"/>
      <c r="AF50" s="255"/>
      <c r="AG50" s="261"/>
      <c r="AH50" s="262"/>
      <c r="AI50" s="263"/>
      <c r="AJ50" s="222"/>
      <c r="AK50" s="123"/>
      <c r="AL50" s="123"/>
    </row>
    <row r="51" spans="1:38" s="92" customFormat="1" ht="28.8" thickBot="1">
      <c r="A51" s="93"/>
      <c r="B51" s="94"/>
      <c r="C51" s="93"/>
      <c r="D51" s="93"/>
      <c r="E51" s="123"/>
      <c r="F51" s="123"/>
      <c r="G51" s="207"/>
      <c r="H51" s="125"/>
      <c r="I51" s="141"/>
      <c r="J51" s="264"/>
      <c r="K51" s="123"/>
      <c r="L51" s="209"/>
      <c r="M51" s="127"/>
      <c r="N51" s="144"/>
      <c r="O51" s="265"/>
      <c r="P51" s="123"/>
      <c r="Q51" s="123"/>
      <c r="R51" s="211"/>
      <c r="S51" s="129"/>
      <c r="T51" s="266"/>
      <c r="U51" s="129"/>
      <c r="V51" s="123"/>
      <c r="W51" s="93"/>
      <c r="X51" s="123"/>
      <c r="Y51" s="213"/>
      <c r="Z51" s="131"/>
      <c r="AA51" s="158"/>
      <c r="AB51" s="267"/>
      <c r="AC51" s="123"/>
      <c r="AD51" s="123"/>
      <c r="AE51" s="123"/>
      <c r="AF51" s="123"/>
      <c r="AG51" s="215"/>
      <c r="AH51" s="133"/>
      <c r="AI51" s="152"/>
      <c r="AJ51" s="268"/>
      <c r="AK51" s="276"/>
      <c r="AL51" s="276"/>
    </row>
    <row r="52" spans="1:38" s="92" customFormat="1" ht="56.4">
      <c r="A52" s="277"/>
      <c r="B52" s="278"/>
      <c r="C52" s="350" t="s">
        <v>46</v>
      </c>
      <c r="D52" s="279"/>
      <c r="E52" s="280"/>
      <c r="F52" s="280"/>
      <c r="G52" s="281">
        <f>G18-G49</f>
        <v>173883.62400000001</v>
      </c>
      <c r="H52" s="282">
        <f>H18-H49</f>
        <v>2307.2045431928404</v>
      </c>
      <c r="I52" s="283">
        <f>I18-I49</f>
        <v>6.8211056017574165</v>
      </c>
      <c r="J52" s="284">
        <f>G52/G$18</f>
        <v>0.43812354959636635</v>
      </c>
      <c r="K52" s="280"/>
      <c r="L52" s="281">
        <f>L18-L49</f>
        <v>224039.17</v>
      </c>
      <c r="M52" s="282">
        <f>M18-M49</f>
        <v>5464.3700000000008</v>
      </c>
      <c r="N52" s="283">
        <f>N18-N49</f>
        <v>390.31214285714282</v>
      </c>
      <c r="O52" s="284">
        <f>L52/L$18</f>
        <v>0.78669079559229604</v>
      </c>
      <c r="P52" s="280"/>
      <c r="Q52" s="280"/>
      <c r="R52" s="281">
        <f>R18-R49</f>
        <v>556427</v>
      </c>
      <c r="S52" s="282">
        <f>S18-S49</f>
        <v>602.19372294372283</v>
      </c>
      <c r="T52" s="284">
        <f>R52/R$18</f>
        <v>0.60904615128655304</v>
      </c>
      <c r="U52" s="280"/>
      <c r="V52" s="280"/>
      <c r="W52" s="279"/>
      <c r="X52" s="280"/>
      <c r="Y52" s="281">
        <f>Y18-Y49</f>
        <v>4208</v>
      </c>
      <c r="Z52" s="282">
        <f>Z18-Z49</f>
        <v>4208</v>
      </c>
      <c r="AA52" s="283">
        <f>AA18-AA49</f>
        <v>87.666666666666671</v>
      </c>
      <c r="AB52" s="284">
        <f>Y52/Y$18</f>
        <v>0.58444444444444443</v>
      </c>
      <c r="AC52" s="280"/>
      <c r="AD52" s="280"/>
      <c r="AE52" s="280"/>
      <c r="AF52" s="280"/>
      <c r="AG52" s="281">
        <f>AG18-AG49</f>
        <v>3430.1080000000002</v>
      </c>
      <c r="AH52" s="282">
        <f>AH18-AH49</f>
        <v>3430.1080000000002</v>
      </c>
      <c r="AI52" s="283">
        <f>AI18-AI49</f>
        <v>76.224622222222237</v>
      </c>
      <c r="AJ52" s="284">
        <f>AG52/AG$18</f>
        <v>0.48965811804757331</v>
      </c>
      <c r="AK52" s="280"/>
      <c r="AL52" s="280"/>
    </row>
    <row r="53" spans="1:38" s="92" customFormat="1" ht="28.2">
      <c r="A53" s="245"/>
      <c r="B53" s="246"/>
      <c r="C53" s="134"/>
      <c r="D53" s="245"/>
      <c r="E53" s="248"/>
      <c r="F53" s="248"/>
      <c r="G53" s="249"/>
      <c r="H53" s="250"/>
      <c r="I53" s="251"/>
      <c r="J53" s="218"/>
      <c r="K53" s="248"/>
      <c r="L53" s="252"/>
      <c r="M53" s="253"/>
      <c r="N53" s="254"/>
      <c r="O53" s="219"/>
      <c r="P53" s="248"/>
      <c r="Q53" s="255"/>
      <c r="R53" s="256"/>
      <c r="S53" s="257"/>
      <c r="T53" s="220"/>
      <c r="U53" s="257"/>
      <c r="V53" s="248"/>
      <c r="W53" s="245"/>
      <c r="X53" s="248"/>
      <c r="Y53" s="258"/>
      <c r="Z53" s="259"/>
      <c r="AA53" s="260"/>
      <c r="AB53" s="221"/>
      <c r="AC53" s="248"/>
      <c r="AD53" s="248"/>
      <c r="AE53" s="248"/>
      <c r="AF53" s="248"/>
      <c r="AG53" s="261"/>
      <c r="AH53" s="262"/>
      <c r="AI53" s="263"/>
      <c r="AJ53" s="222"/>
      <c r="AK53" s="285"/>
      <c r="AL53" s="285"/>
    </row>
    <row r="54" spans="1:38" s="92" customFormat="1" ht="28.2">
      <c r="A54" s="93"/>
      <c r="B54" s="286"/>
      <c r="C54" s="134" t="s">
        <v>47</v>
      </c>
      <c r="D54" s="93"/>
      <c r="E54" s="123"/>
      <c r="F54" s="123"/>
      <c r="G54" s="154"/>
      <c r="H54" s="125"/>
      <c r="I54" s="141"/>
      <c r="J54" s="264"/>
      <c r="K54" s="123"/>
      <c r="L54" s="223"/>
      <c r="M54" s="127"/>
      <c r="N54" s="144"/>
      <c r="O54" s="265"/>
      <c r="P54" s="123"/>
      <c r="Q54" s="123"/>
      <c r="R54" s="155"/>
      <c r="S54" s="129"/>
      <c r="T54" s="266"/>
      <c r="U54" s="129"/>
      <c r="V54" s="123"/>
      <c r="W54" s="93"/>
      <c r="X54" s="123"/>
      <c r="Y54" s="156"/>
      <c r="Z54" s="131"/>
      <c r="AA54" s="158"/>
      <c r="AB54" s="267"/>
      <c r="AC54" s="123"/>
      <c r="AD54" s="123"/>
      <c r="AE54" s="123"/>
      <c r="AF54" s="123"/>
      <c r="AG54" s="224"/>
      <c r="AH54" s="133"/>
      <c r="AI54" s="152"/>
      <c r="AJ54" s="268"/>
      <c r="AK54" s="123"/>
      <c r="AL54" s="123"/>
    </row>
    <row r="55" spans="1:38" s="92" customFormat="1" ht="28.2">
      <c r="A55" s="93"/>
      <c r="B55" s="287"/>
      <c r="C55" s="93" t="s">
        <v>48</v>
      </c>
      <c r="D55" s="93"/>
      <c r="E55" s="123"/>
      <c r="F55" s="123"/>
      <c r="G55" s="154">
        <v>2283</v>
      </c>
      <c r="H55" s="125">
        <f>G55/H$8</f>
        <v>30.292375158394758</v>
      </c>
      <c r="I55" s="141">
        <f>G55/I$8</f>
        <v>8.9557508237878544E-2</v>
      </c>
      <c r="J55" s="218">
        <f>G55/G$18</f>
        <v>5.7523304421611566E-3</v>
      </c>
      <c r="K55" s="123"/>
      <c r="L55" s="143">
        <f t="shared" ref="L55:L56" si="18">$M$8*M55</f>
        <v>3506.3199999999997</v>
      </c>
      <c r="M55" s="127">
        <f>85.52</f>
        <v>85.52</v>
      </c>
      <c r="N55" s="144">
        <f>L55/N$8</f>
        <v>6.1085714285714277</v>
      </c>
      <c r="O55" s="219">
        <f>L55/L$18</f>
        <v>1.2312086633784526E-2</v>
      </c>
      <c r="P55" s="123"/>
      <c r="Q55" s="123"/>
      <c r="R55" s="155">
        <v>3673</v>
      </c>
      <c r="S55" s="129">
        <f>R55/$S$8</f>
        <v>3.975108225108225</v>
      </c>
      <c r="T55" s="220">
        <f>R55/R$18</f>
        <v>4.0203414170691025E-3</v>
      </c>
      <c r="U55" s="129"/>
      <c r="V55" s="123"/>
      <c r="W55" s="93"/>
      <c r="X55" s="123"/>
      <c r="Y55" s="156">
        <f>Z$8*Z55</f>
        <v>101</v>
      </c>
      <c r="Z55" s="131">
        <v>101</v>
      </c>
      <c r="AA55" s="158">
        <f>Y55/AA$8</f>
        <v>2.1041666666666665</v>
      </c>
      <c r="AB55" s="221">
        <f>Y55/Y$18</f>
        <v>1.4027777777777778E-2</v>
      </c>
      <c r="AC55" s="123"/>
      <c r="AD55" s="123"/>
      <c r="AE55" s="123"/>
      <c r="AF55" s="123"/>
      <c r="AG55" s="151">
        <f>AH$8*AH55</f>
        <v>101</v>
      </c>
      <c r="AH55" s="133">
        <v>101</v>
      </c>
      <c r="AI55" s="152">
        <f>AG55/AI$8</f>
        <v>2.2444444444444445</v>
      </c>
      <c r="AJ55" s="222">
        <f>AG55/AG$18</f>
        <v>1.4418050371243383E-2</v>
      </c>
      <c r="AK55" s="123"/>
      <c r="AL55" s="123"/>
    </row>
    <row r="56" spans="1:38" s="92" customFormat="1" ht="28.2">
      <c r="A56" s="93"/>
      <c r="B56" s="287"/>
      <c r="C56" s="93" t="s">
        <v>49</v>
      </c>
      <c r="D56" s="93"/>
      <c r="E56" s="123"/>
      <c r="F56" s="123"/>
      <c r="G56" s="154">
        <v>69878</v>
      </c>
      <c r="H56" s="125">
        <f t="shared" ref="H56" si="19">G56/H$8</f>
        <v>927.18816965322333</v>
      </c>
      <c r="I56" s="141">
        <f>G56/I$8</f>
        <v>2.7411737015534285</v>
      </c>
      <c r="J56" s="218">
        <f>G56/G$18</f>
        <v>0.17606716891692389</v>
      </c>
      <c r="K56" s="123"/>
      <c r="L56" s="143">
        <f t="shared" si="18"/>
        <v>149941.1</v>
      </c>
      <c r="M56" s="127">
        <f>3657.1</f>
        <v>3657.1</v>
      </c>
      <c r="N56" s="144">
        <f>L56/N$8</f>
        <v>261.22142857142859</v>
      </c>
      <c r="O56" s="219">
        <f>L56/L$18</f>
        <v>0.52650294701138212</v>
      </c>
      <c r="P56" s="123"/>
      <c r="Q56" s="123"/>
      <c r="R56" s="155">
        <v>122955</v>
      </c>
      <c r="S56" s="129">
        <f>R56/$S$8</f>
        <v>133.06818181818181</v>
      </c>
      <c r="T56" s="220">
        <f>R56/R$18</f>
        <v>0.13458237923651822</v>
      </c>
      <c r="U56" s="129"/>
      <c r="V56" s="123"/>
      <c r="W56" s="93"/>
      <c r="X56" s="123"/>
      <c r="Y56" s="156">
        <f>Z$8*Z56</f>
        <v>1559</v>
      </c>
      <c r="Z56" s="131">
        <v>1559</v>
      </c>
      <c r="AA56" s="158">
        <f>Y56/AA$8</f>
        <v>32.479166666666664</v>
      </c>
      <c r="AB56" s="221">
        <f>Y56/Y$18</f>
        <v>0.21652777777777779</v>
      </c>
      <c r="AC56" s="123"/>
      <c r="AD56" s="123"/>
      <c r="AE56" s="123"/>
      <c r="AF56" s="123"/>
      <c r="AG56" s="151">
        <f>AH$8*AH56</f>
        <v>1500</v>
      </c>
      <c r="AH56" s="133">
        <v>1500</v>
      </c>
      <c r="AI56" s="152">
        <f>AG56/AI$8</f>
        <v>33.333333333333336</v>
      </c>
      <c r="AJ56" s="222">
        <f>AG56/AG$18</f>
        <v>0.21412946095906016</v>
      </c>
      <c r="AK56" s="123"/>
      <c r="AL56" s="123"/>
    </row>
    <row r="57" spans="1:38" s="92" customFormat="1" ht="28.2">
      <c r="A57" s="93"/>
      <c r="B57" s="94"/>
      <c r="C57" s="93"/>
      <c r="D57" s="93"/>
      <c r="E57" s="123"/>
      <c r="F57" s="123"/>
      <c r="G57" s="207"/>
      <c r="H57" s="125"/>
      <c r="I57" s="141"/>
      <c r="J57" s="264"/>
      <c r="K57" s="123"/>
      <c r="L57" s="209"/>
      <c r="M57" s="127"/>
      <c r="N57" s="144"/>
      <c r="O57" s="265"/>
      <c r="P57" s="123"/>
      <c r="Q57" s="123"/>
      <c r="R57" s="211"/>
      <c r="S57" s="129"/>
      <c r="T57" s="266"/>
      <c r="U57" s="129"/>
      <c r="V57" s="123"/>
      <c r="W57" s="93"/>
      <c r="X57" s="123"/>
      <c r="Y57" s="213"/>
      <c r="Z57" s="131"/>
      <c r="AA57" s="158"/>
      <c r="AB57" s="267"/>
      <c r="AC57" s="123"/>
      <c r="AD57" s="123"/>
      <c r="AE57" s="123"/>
      <c r="AF57" s="123"/>
      <c r="AG57" s="215"/>
      <c r="AH57" s="133"/>
      <c r="AI57" s="152"/>
      <c r="AJ57" s="268"/>
      <c r="AK57" s="123"/>
      <c r="AL57" s="123"/>
    </row>
    <row r="58" spans="1:38" s="92" customFormat="1" ht="28.2">
      <c r="A58" s="93"/>
      <c r="B58" s="94"/>
      <c r="C58" s="165" t="s">
        <v>47</v>
      </c>
      <c r="D58" s="93"/>
      <c r="E58" s="112"/>
      <c r="F58" s="112"/>
      <c r="G58" s="270">
        <f>SUM(G54:G57)</f>
        <v>72161</v>
      </c>
      <c r="H58" s="226">
        <f>SUM(H54:H57)</f>
        <v>957.48054481161807</v>
      </c>
      <c r="I58" s="227">
        <f>SUM(I54:I57)</f>
        <v>2.8307312097913071</v>
      </c>
      <c r="J58" s="228">
        <f>G58/G$18</f>
        <v>0.18181949935908506</v>
      </c>
      <c r="K58" s="112"/>
      <c r="L58" s="271">
        <f>SUM(L54:L57)</f>
        <v>153447.42000000001</v>
      </c>
      <c r="M58" s="230">
        <f>SUM(M54:M57)</f>
        <v>3742.62</v>
      </c>
      <c r="N58" s="231">
        <f>SUM(N54:N57)</f>
        <v>267.33000000000004</v>
      </c>
      <c r="O58" s="232">
        <f>L58/L$18</f>
        <v>0.53881503364516659</v>
      </c>
      <c r="P58" s="112"/>
      <c r="Q58" s="112"/>
      <c r="R58" s="272">
        <f>SUM(R54:R57)</f>
        <v>126628</v>
      </c>
      <c r="S58" s="234">
        <f>SUM(S54:S57)</f>
        <v>137.04329004329003</v>
      </c>
      <c r="T58" s="235">
        <f>R58/R$18</f>
        <v>0.13860272065358734</v>
      </c>
      <c r="U58" s="118"/>
      <c r="V58" s="112"/>
      <c r="W58" s="93"/>
      <c r="X58" s="112"/>
      <c r="Y58" s="273">
        <f>SUM(Y54:Y57)</f>
        <v>1660</v>
      </c>
      <c r="Z58" s="237">
        <f>SUM(Z54:Z57)</f>
        <v>1660</v>
      </c>
      <c r="AA58" s="238">
        <f>SUM(AA54:AA57)</f>
        <v>34.583333333333329</v>
      </c>
      <c r="AB58" s="239">
        <f>Y58/Y$18</f>
        <v>0.23055555555555557</v>
      </c>
      <c r="AC58" s="112"/>
      <c r="AD58" s="112"/>
      <c r="AE58" s="112"/>
      <c r="AF58" s="112"/>
      <c r="AG58" s="274">
        <f>SUM(AG54:AG57)</f>
        <v>1601</v>
      </c>
      <c r="AH58" s="241">
        <f>SUM(AH54:AH57)</f>
        <v>1601</v>
      </c>
      <c r="AI58" s="242">
        <f>SUM(AI54:AI57)</f>
        <v>35.577777777777783</v>
      </c>
      <c r="AJ58" s="243">
        <f>AG58/AG$18</f>
        <v>0.22854751133030354</v>
      </c>
      <c r="AK58" s="112"/>
      <c r="AL58" s="112"/>
    </row>
    <row r="59" spans="1:38" s="92" customFormat="1" ht="28.8" thickBot="1">
      <c r="A59" s="245"/>
      <c r="B59" s="246"/>
      <c r="C59" s="247"/>
      <c r="D59" s="245"/>
      <c r="E59" s="248"/>
      <c r="F59" s="248"/>
      <c r="G59" s="249"/>
      <c r="H59" s="250"/>
      <c r="I59" s="251"/>
      <c r="J59" s="218"/>
      <c r="K59" s="248"/>
      <c r="L59" s="252"/>
      <c r="M59" s="253"/>
      <c r="N59" s="254"/>
      <c r="O59" s="219"/>
      <c r="P59" s="248"/>
      <c r="Q59" s="255"/>
      <c r="R59" s="256"/>
      <c r="S59" s="257"/>
      <c r="T59" s="220"/>
      <c r="U59" s="257"/>
      <c r="V59" s="248"/>
      <c r="W59" s="245"/>
      <c r="X59" s="248"/>
      <c r="Y59" s="258"/>
      <c r="Z59" s="259"/>
      <c r="AA59" s="260"/>
      <c r="AB59" s="221"/>
      <c r="AC59" s="248"/>
      <c r="AD59" s="248"/>
      <c r="AE59" s="248"/>
      <c r="AF59" s="248"/>
      <c r="AG59" s="261"/>
      <c r="AH59" s="262"/>
      <c r="AI59" s="263"/>
      <c r="AJ59" s="222"/>
      <c r="AK59" s="244"/>
      <c r="AL59" s="244"/>
    </row>
    <row r="60" spans="1:38" s="92" customFormat="1" ht="28.2">
      <c r="A60" s="93"/>
      <c r="B60" s="94"/>
      <c r="C60" s="165" t="s">
        <v>50</v>
      </c>
      <c r="D60" s="95"/>
      <c r="E60" s="166"/>
      <c r="F60" s="166"/>
      <c r="G60" s="288">
        <f>G49+G58</f>
        <v>295160</v>
      </c>
      <c r="H60" s="289">
        <f>H58+H49</f>
        <v>3916.3808373858064</v>
      </c>
      <c r="I60" s="290">
        <f>I58+I49</f>
        <v>11.578534442177936</v>
      </c>
      <c r="J60" s="291">
        <f>G60/G$18</f>
        <v>0.74369594976271869</v>
      </c>
      <c r="K60" s="166"/>
      <c r="L60" s="292">
        <f>L49+L58</f>
        <v>214195.07</v>
      </c>
      <c r="M60" s="293">
        <f>M58+M49</f>
        <v>5224.2700000000004</v>
      </c>
      <c r="N60" s="294">
        <f>N58+N49</f>
        <v>373.1621428571429</v>
      </c>
      <c r="O60" s="295">
        <f>L60/L$18</f>
        <v>0.75212423805287054</v>
      </c>
      <c r="P60" s="166"/>
      <c r="Q60" s="166"/>
      <c r="R60" s="296">
        <f>R49+R58</f>
        <v>483805</v>
      </c>
      <c r="S60" s="297">
        <f>S58+S49</f>
        <v>523.59848484848476</v>
      </c>
      <c r="T60" s="298">
        <f>R60/R$18</f>
        <v>0.52955656936703432</v>
      </c>
      <c r="U60" s="178"/>
      <c r="V60" s="166"/>
      <c r="W60" s="95"/>
      <c r="X60" s="166"/>
      <c r="Y60" s="299">
        <f>Y49+Y58</f>
        <v>4652</v>
      </c>
      <c r="Z60" s="300">
        <f>Z58+Z49</f>
        <v>4652</v>
      </c>
      <c r="AA60" s="301">
        <f>AA58+AA49</f>
        <v>96.916666666666657</v>
      </c>
      <c r="AB60" s="302">
        <f>Y60/Y$18</f>
        <v>0.64611111111111108</v>
      </c>
      <c r="AC60" s="166"/>
      <c r="AD60" s="166"/>
      <c r="AE60" s="166"/>
      <c r="AF60" s="166"/>
      <c r="AG60" s="303">
        <f>AG49+AG58</f>
        <v>5176</v>
      </c>
      <c r="AH60" s="304">
        <f>AH58+AH49</f>
        <v>5176</v>
      </c>
      <c r="AI60" s="305">
        <f>AI58+AI49</f>
        <v>115.02222222222223</v>
      </c>
      <c r="AJ60" s="306">
        <f>AG60/AG$18</f>
        <v>0.73888939328273029</v>
      </c>
      <c r="AK60" s="166"/>
      <c r="AL60" s="166"/>
    </row>
    <row r="61" spans="1:38" s="92" customFormat="1" ht="28.8" thickBot="1">
      <c r="A61" s="93"/>
      <c r="B61" s="94"/>
      <c r="C61" s="93"/>
      <c r="D61" s="93"/>
      <c r="E61" s="123"/>
      <c r="F61" s="123"/>
      <c r="G61" s="207"/>
      <c r="H61" s="125"/>
      <c r="I61" s="141"/>
      <c r="J61" s="264"/>
      <c r="K61" s="123"/>
      <c r="L61" s="209"/>
      <c r="M61" s="127"/>
      <c r="N61" s="144"/>
      <c r="O61" s="265"/>
      <c r="P61" s="123"/>
      <c r="Q61" s="123"/>
      <c r="R61" s="211"/>
      <c r="S61" s="129"/>
      <c r="T61" s="266"/>
      <c r="U61" s="129"/>
      <c r="V61" s="123"/>
      <c r="W61" s="93"/>
      <c r="X61" s="123"/>
      <c r="Y61" s="213"/>
      <c r="Z61" s="131"/>
      <c r="AA61" s="158"/>
      <c r="AB61" s="267"/>
      <c r="AC61" s="123"/>
      <c r="AD61" s="123"/>
      <c r="AE61" s="123"/>
      <c r="AF61" s="123"/>
      <c r="AG61" s="215"/>
      <c r="AH61" s="133"/>
      <c r="AI61" s="152"/>
      <c r="AJ61" s="268"/>
      <c r="AK61" s="123"/>
      <c r="AL61" s="123"/>
    </row>
    <row r="62" spans="1:38" s="92" customFormat="1" ht="28.8" thickTop="1">
      <c r="A62" s="307"/>
      <c r="B62" s="308"/>
      <c r="C62" s="309" t="s">
        <v>51</v>
      </c>
      <c r="D62" s="307"/>
      <c r="E62" s="310"/>
      <c r="F62" s="310"/>
      <c r="G62" s="311">
        <f>G52-G58</f>
        <v>101722.62400000001</v>
      </c>
      <c r="H62" s="312">
        <f>H52-H58</f>
        <v>1349.7239983812224</v>
      </c>
      <c r="I62" s="313">
        <f>I52-I58</f>
        <v>3.9903743919661094</v>
      </c>
      <c r="J62" s="314">
        <f>G62/G$18</f>
        <v>0.25630405023728126</v>
      </c>
      <c r="K62" s="310"/>
      <c r="L62" s="311">
        <f>L52-L58</f>
        <v>70591.75</v>
      </c>
      <c r="M62" s="312">
        <f>M52-M58</f>
        <v>1721.7500000000009</v>
      </c>
      <c r="N62" s="313">
        <f>N52-N58</f>
        <v>122.98214285714278</v>
      </c>
      <c r="O62" s="314">
        <f>L62/L$18</f>
        <v>0.24787576194712943</v>
      </c>
      <c r="P62" s="310"/>
      <c r="Q62" s="310"/>
      <c r="R62" s="311">
        <f>R52-R58</f>
        <v>429799</v>
      </c>
      <c r="S62" s="312">
        <f>S52-S58</f>
        <v>465.1504329004328</v>
      </c>
      <c r="T62" s="314">
        <f>R62/R$18</f>
        <v>0.47044343063296573</v>
      </c>
      <c r="U62" s="310"/>
      <c r="V62" s="310"/>
      <c r="W62" s="307"/>
      <c r="X62" s="310"/>
      <c r="Y62" s="311">
        <f>Y52-Y58</f>
        <v>2548</v>
      </c>
      <c r="Z62" s="312">
        <f>Z52-Z58</f>
        <v>2548</v>
      </c>
      <c r="AA62" s="313">
        <f>AA52-AA58</f>
        <v>53.083333333333343</v>
      </c>
      <c r="AB62" s="314">
        <f>Y62/Y$18</f>
        <v>0.35388888888888886</v>
      </c>
      <c r="AC62" s="310"/>
      <c r="AD62" s="310"/>
      <c r="AE62" s="310"/>
      <c r="AF62" s="310"/>
      <c r="AG62" s="311">
        <f>AG52-AG58</f>
        <v>1829.1080000000002</v>
      </c>
      <c r="AH62" s="312">
        <f>AH52-AH58</f>
        <v>1829.1080000000002</v>
      </c>
      <c r="AI62" s="313">
        <f>AI52-AI58</f>
        <v>40.646844444444454</v>
      </c>
      <c r="AJ62" s="314">
        <f>AG62/AG$18</f>
        <v>0.26111060671726977</v>
      </c>
      <c r="AK62" s="310"/>
      <c r="AL62" s="310"/>
    </row>
    <row r="63" spans="1:38" s="92" customFormat="1" ht="28.2">
      <c r="A63" s="245"/>
      <c r="B63" s="246"/>
      <c r="C63" s="247"/>
      <c r="D63" s="245"/>
      <c r="E63" s="248"/>
      <c r="F63" s="248"/>
      <c r="G63" s="249"/>
      <c r="H63" s="250"/>
      <c r="I63" s="251"/>
      <c r="J63" s="218"/>
      <c r="K63" s="248"/>
      <c r="L63" s="252"/>
      <c r="M63" s="253"/>
      <c r="N63" s="254"/>
      <c r="O63" s="219"/>
      <c r="P63" s="248"/>
      <c r="Q63" s="255"/>
      <c r="R63" s="256"/>
      <c r="S63" s="257"/>
      <c r="T63" s="220"/>
      <c r="U63" s="257"/>
      <c r="V63" s="248"/>
      <c r="W63" s="245"/>
      <c r="X63" s="248"/>
      <c r="Y63" s="258"/>
      <c r="Z63" s="259"/>
      <c r="AA63" s="260"/>
      <c r="AB63" s="221"/>
      <c r="AC63" s="248"/>
      <c r="AD63" s="248"/>
      <c r="AE63" s="248"/>
      <c r="AF63" s="248"/>
      <c r="AG63" s="261"/>
      <c r="AH63" s="262"/>
      <c r="AI63" s="263"/>
      <c r="AJ63" s="222"/>
      <c r="AK63" s="315"/>
      <c r="AL63" s="315"/>
    </row>
    <row r="64" spans="1:38" s="92" customFormat="1" ht="28.2">
      <c r="A64" s="93"/>
      <c r="B64" s="94"/>
      <c r="C64" s="134" t="s">
        <v>52</v>
      </c>
      <c r="D64" s="93"/>
      <c r="E64" s="123"/>
      <c r="F64" s="123"/>
      <c r="G64" s="154"/>
      <c r="H64" s="125"/>
      <c r="I64" s="141"/>
      <c r="J64" s="218"/>
      <c r="K64" s="123"/>
      <c r="L64" s="223"/>
      <c r="M64" s="127"/>
      <c r="N64" s="144"/>
      <c r="O64" s="219"/>
      <c r="P64" s="123"/>
      <c r="Q64" s="123"/>
      <c r="R64" s="155"/>
      <c r="S64" s="129"/>
      <c r="T64" s="220"/>
      <c r="U64" s="129"/>
      <c r="V64" s="123"/>
      <c r="W64" s="93"/>
      <c r="X64" s="123"/>
      <c r="Y64" s="156"/>
      <c r="Z64" s="131"/>
      <c r="AA64" s="158"/>
      <c r="AB64" s="221"/>
      <c r="AC64" s="123"/>
      <c r="AD64" s="123"/>
      <c r="AE64" s="123"/>
      <c r="AF64" s="123"/>
      <c r="AG64" s="224"/>
      <c r="AH64" s="133"/>
      <c r="AI64" s="152"/>
      <c r="AJ64" s="222"/>
      <c r="AK64" s="123"/>
      <c r="AL64" s="123"/>
    </row>
    <row r="65" spans="1:38" s="92" customFormat="1" ht="14.25" customHeight="1">
      <c r="A65" s="93"/>
      <c r="B65" s="94"/>
      <c r="C65" s="93"/>
      <c r="D65" s="93"/>
      <c r="E65" s="123"/>
      <c r="F65" s="123"/>
      <c r="G65" s="154"/>
      <c r="H65" s="125"/>
      <c r="I65" s="141"/>
      <c r="J65" s="218"/>
      <c r="K65" s="123"/>
      <c r="L65" s="223"/>
      <c r="M65" s="127"/>
      <c r="N65" s="144"/>
      <c r="O65" s="219"/>
      <c r="P65" s="123"/>
      <c r="Q65" s="123"/>
      <c r="R65" s="155"/>
      <c r="S65" s="129"/>
      <c r="T65" s="147"/>
      <c r="U65" s="129"/>
      <c r="V65" s="123"/>
      <c r="W65" s="93"/>
      <c r="X65" s="123"/>
      <c r="Y65" s="156"/>
      <c r="Z65" s="131"/>
      <c r="AA65" s="158"/>
      <c r="AB65" s="221"/>
      <c r="AC65" s="123"/>
      <c r="AD65" s="123"/>
      <c r="AE65" s="123"/>
      <c r="AF65" s="123"/>
      <c r="AG65" s="224"/>
      <c r="AH65" s="133"/>
      <c r="AI65" s="152"/>
      <c r="AJ65" s="222"/>
      <c r="AK65" s="123"/>
      <c r="AL65" s="123"/>
    </row>
    <row r="66" spans="1:38" s="92" customFormat="1" ht="28.2">
      <c r="A66" s="93"/>
      <c r="B66" s="94"/>
      <c r="C66" s="93" t="s">
        <v>53</v>
      </c>
      <c r="D66" s="93"/>
      <c r="E66" s="123"/>
      <c r="F66" s="123"/>
      <c r="G66" s="154">
        <v>0</v>
      </c>
      <c r="H66" s="125">
        <f>G66/H$8</f>
        <v>0</v>
      </c>
      <c r="I66" s="125">
        <f>G66/I$8</f>
        <v>0</v>
      </c>
      <c r="J66" s="218">
        <f>G66/G$18</f>
        <v>0</v>
      </c>
      <c r="K66" s="123"/>
      <c r="L66" s="143">
        <f t="shared" ref="L66:L70" si="20">$M$8*M66</f>
        <v>238.20999999999998</v>
      </c>
      <c r="M66" s="127">
        <f>5.81</f>
        <v>5.81</v>
      </c>
      <c r="N66" s="144">
        <f>L66/N$8</f>
        <v>0.41499999999999998</v>
      </c>
      <c r="O66" s="219">
        <f>L66/L$18</f>
        <v>8.3645022617268581E-4</v>
      </c>
      <c r="P66" s="123"/>
      <c r="Q66" s="123"/>
      <c r="R66" s="155">
        <v>0</v>
      </c>
      <c r="S66" s="129">
        <v>0</v>
      </c>
      <c r="T66" s="147">
        <f>R66/R$18</f>
        <v>0</v>
      </c>
      <c r="U66" s="129"/>
      <c r="V66" s="123"/>
      <c r="W66" s="93"/>
      <c r="X66" s="123"/>
      <c r="Y66" s="156">
        <f>Z$8*Z66</f>
        <v>100</v>
      </c>
      <c r="Z66" s="131">
        <v>100</v>
      </c>
      <c r="AA66" s="158">
        <f>Y66/AA$8</f>
        <v>2.0833333333333335</v>
      </c>
      <c r="AB66" s="221">
        <f>Y66/Y$18</f>
        <v>1.3888888888888888E-2</v>
      </c>
      <c r="AC66" s="123"/>
      <c r="AD66" s="123"/>
      <c r="AE66" s="123"/>
      <c r="AF66" s="123"/>
      <c r="AG66" s="151">
        <f>AH$8*AH66</f>
        <v>100</v>
      </c>
      <c r="AH66" s="133">
        <v>100</v>
      </c>
      <c r="AI66" s="152">
        <f>AG66/AI$8</f>
        <v>2.2222222222222223</v>
      </c>
      <c r="AJ66" s="222">
        <f>AG66/AG$18</f>
        <v>1.4275297397270677E-2</v>
      </c>
      <c r="AK66" s="123"/>
      <c r="AL66" s="123"/>
    </row>
    <row r="67" spans="1:38" s="92" customFormat="1" ht="28.2">
      <c r="A67" s="93"/>
      <c r="B67" s="94"/>
      <c r="C67" s="93" t="s">
        <v>54</v>
      </c>
      <c r="D67" s="93"/>
      <c r="E67" s="123"/>
      <c r="F67" s="123"/>
      <c r="G67" s="154">
        <v>0</v>
      </c>
      <c r="H67" s="125">
        <f>G67/H$8</f>
        <v>0</v>
      </c>
      <c r="I67" s="125">
        <f>G67/I$8</f>
        <v>0</v>
      </c>
      <c r="J67" s="218">
        <f>G67/G$18</f>
        <v>0</v>
      </c>
      <c r="K67" s="123"/>
      <c r="L67" s="143">
        <f t="shared" si="20"/>
        <v>5309.5</v>
      </c>
      <c r="M67" s="361">
        <v>129.5</v>
      </c>
      <c r="N67" s="144">
        <f>L67/N$8</f>
        <v>9.25</v>
      </c>
      <c r="O67" s="219">
        <f>L67/L$18</f>
        <v>1.8643770101439385E-2</v>
      </c>
      <c r="P67" s="123"/>
      <c r="Q67" s="123"/>
      <c r="R67" s="155">
        <v>0</v>
      </c>
      <c r="S67" s="129">
        <v>0</v>
      </c>
      <c r="T67" s="147">
        <f>R67/R$18</f>
        <v>0</v>
      </c>
      <c r="U67" s="129"/>
      <c r="V67" s="123"/>
      <c r="W67" s="93"/>
      <c r="X67" s="123"/>
      <c r="Y67" s="156">
        <f>Z$8*Z67</f>
        <v>150</v>
      </c>
      <c r="Z67" s="131">
        <v>150</v>
      </c>
      <c r="AA67" s="158">
        <f>Y67/AA$8</f>
        <v>3.125</v>
      </c>
      <c r="AB67" s="221">
        <f>Y67/Y$18</f>
        <v>2.0833333333333332E-2</v>
      </c>
      <c r="AC67" s="123"/>
      <c r="AD67" s="123"/>
      <c r="AE67" s="123"/>
      <c r="AF67" s="123"/>
      <c r="AG67" s="151">
        <f>AH$8*AH67</f>
        <v>150</v>
      </c>
      <c r="AH67" s="133">
        <v>150</v>
      </c>
      <c r="AI67" s="152">
        <f>AG67/AI$8</f>
        <v>3.3333333333333335</v>
      </c>
      <c r="AJ67" s="222">
        <f>AG67/AG$18</f>
        <v>2.1412946095906014E-2</v>
      </c>
      <c r="AK67" s="123"/>
      <c r="AL67" s="123"/>
    </row>
    <row r="68" spans="1:38" s="92" customFormat="1" ht="28.2">
      <c r="A68" s="93"/>
      <c r="B68" s="94"/>
      <c r="C68" s="93" t="s">
        <v>55</v>
      </c>
      <c r="D68" s="93"/>
      <c r="E68" s="123"/>
      <c r="F68" s="123"/>
      <c r="G68" s="154">
        <v>11351</v>
      </c>
      <c r="H68" s="125">
        <f>G68/H$8</f>
        <v>150.6126808685672</v>
      </c>
      <c r="I68" s="141">
        <f>G68/I$8</f>
        <v>0.44527694963125686</v>
      </c>
      <c r="J68" s="218">
        <f>G68/G$18</f>
        <v>2.8600395466040859E-2</v>
      </c>
      <c r="K68" s="123"/>
      <c r="L68" s="143">
        <f t="shared" si="20"/>
        <v>0</v>
      </c>
      <c r="M68" s="362"/>
      <c r="N68" s="127">
        <f>L68/N$8</f>
        <v>0</v>
      </c>
      <c r="O68" s="145">
        <f>L68/L$18</f>
        <v>0</v>
      </c>
      <c r="P68" s="123"/>
      <c r="Q68" s="123"/>
      <c r="R68" s="155">
        <v>0</v>
      </c>
      <c r="S68" s="129">
        <v>0</v>
      </c>
      <c r="T68" s="147">
        <f>R68/R$18</f>
        <v>0</v>
      </c>
      <c r="U68" s="129"/>
      <c r="V68" s="123"/>
      <c r="W68" s="93"/>
      <c r="X68" s="123"/>
      <c r="Y68" s="156">
        <f>Z$8*Z68</f>
        <v>335</v>
      </c>
      <c r="Z68" s="131">
        <v>335</v>
      </c>
      <c r="AA68" s="158">
        <f>Y68/AA$8</f>
        <v>6.979166666666667</v>
      </c>
      <c r="AB68" s="221">
        <f>Y68/Y$18</f>
        <v>4.6527777777777779E-2</v>
      </c>
      <c r="AC68" s="123"/>
      <c r="AD68" s="123"/>
      <c r="AE68" s="123"/>
      <c r="AF68" s="123"/>
      <c r="AG68" s="151">
        <f>AH$8*AH68</f>
        <v>335</v>
      </c>
      <c r="AH68" s="133">
        <v>335</v>
      </c>
      <c r="AI68" s="152">
        <f>AG68/AI$8</f>
        <v>7.4444444444444446</v>
      </c>
      <c r="AJ68" s="222">
        <f>AG68/AG$18</f>
        <v>4.7822246280856767E-2</v>
      </c>
      <c r="AK68" s="123"/>
      <c r="AL68" s="123"/>
    </row>
    <row r="69" spans="1:38" s="92" customFormat="1" ht="28.2">
      <c r="A69" s="93"/>
      <c r="B69" s="94"/>
      <c r="C69" s="93" t="s">
        <v>56</v>
      </c>
      <c r="D69" s="93"/>
      <c r="E69" s="123"/>
      <c r="F69" s="123"/>
      <c r="G69" s="154">
        <v>0</v>
      </c>
      <c r="H69" s="125">
        <f>G69/H$8</f>
        <v>0</v>
      </c>
      <c r="I69" s="125">
        <f>G69/I$8</f>
        <v>0</v>
      </c>
      <c r="J69" s="218">
        <f>G69/G$18</f>
        <v>0</v>
      </c>
      <c r="K69" s="123"/>
      <c r="L69" s="143">
        <f t="shared" si="20"/>
        <v>0</v>
      </c>
      <c r="M69" s="362"/>
      <c r="N69" s="127">
        <f>L69/N$8</f>
        <v>0</v>
      </c>
      <c r="O69" s="145">
        <f>L69/L$18</f>
        <v>0</v>
      </c>
      <c r="P69" s="123"/>
      <c r="Q69" s="123"/>
      <c r="R69" s="155">
        <v>0</v>
      </c>
      <c r="S69" s="129">
        <v>0</v>
      </c>
      <c r="T69" s="147">
        <f>R69/R$18</f>
        <v>0</v>
      </c>
      <c r="U69" s="129"/>
      <c r="V69" s="123"/>
      <c r="W69" s="93"/>
      <c r="X69" s="123"/>
      <c r="Y69" s="156">
        <f>Z$8*Z69</f>
        <v>81</v>
      </c>
      <c r="Z69" s="131">
        <v>81</v>
      </c>
      <c r="AA69" s="158">
        <f>Y69/AA$8</f>
        <v>1.6875</v>
      </c>
      <c r="AB69" s="221">
        <f>Y69/Y$18</f>
        <v>1.125E-2</v>
      </c>
      <c r="AC69" s="123"/>
      <c r="AD69" s="123"/>
      <c r="AE69" s="123"/>
      <c r="AF69" s="123"/>
      <c r="AG69" s="151">
        <f>AH$8*AH69</f>
        <v>81</v>
      </c>
      <c r="AH69" s="133">
        <v>81</v>
      </c>
      <c r="AI69" s="152">
        <f>AG69/AI$8</f>
        <v>1.8</v>
      </c>
      <c r="AJ69" s="222">
        <f>AG69/AG$18</f>
        <v>1.1562990891789249E-2</v>
      </c>
      <c r="AK69" s="123"/>
      <c r="AL69" s="123"/>
    </row>
    <row r="70" spans="1:38" s="92" customFormat="1" ht="28.2">
      <c r="A70" s="93"/>
      <c r="B70" s="94"/>
      <c r="C70" s="93" t="s">
        <v>57</v>
      </c>
      <c r="D70" s="93"/>
      <c r="E70" s="123"/>
      <c r="F70" s="123"/>
      <c r="G70" s="154">
        <f>10414+22491</f>
        <v>32905</v>
      </c>
      <c r="H70" s="125">
        <f>G70/H$8</f>
        <v>436.60560866709568</v>
      </c>
      <c r="I70" s="141">
        <f>G70/I$8</f>
        <v>1.2907971128197082</v>
      </c>
      <c r="J70" s="218">
        <f>G70/G$18</f>
        <v>8.2908643538901816E-2</v>
      </c>
      <c r="K70" s="123"/>
      <c r="L70" s="143">
        <f t="shared" si="20"/>
        <v>0</v>
      </c>
      <c r="M70" s="363"/>
      <c r="N70" s="127">
        <f>L70/N$8</f>
        <v>0</v>
      </c>
      <c r="O70" s="145">
        <f>L70/L$18</f>
        <v>0</v>
      </c>
      <c r="P70" s="123"/>
      <c r="Q70" s="123"/>
      <c r="R70" s="155">
        <f>50981+9888</f>
        <v>60869</v>
      </c>
      <c r="S70" s="129">
        <f>R70/S8</f>
        <v>65.875541125541119</v>
      </c>
      <c r="T70" s="220">
        <f>R70/R$18</f>
        <v>6.6625146124579135E-2</v>
      </c>
      <c r="U70" s="129"/>
      <c r="V70" s="123"/>
      <c r="W70" s="93"/>
      <c r="X70" s="123"/>
      <c r="Y70" s="156">
        <f>Z$8*Z70</f>
        <v>0</v>
      </c>
      <c r="Z70" s="131">
        <v>0</v>
      </c>
      <c r="AA70" s="131">
        <f>Y70/AA$8</f>
        <v>0</v>
      </c>
      <c r="AB70" s="150">
        <f>Y70/Y$18</f>
        <v>0</v>
      </c>
      <c r="AC70" s="123"/>
      <c r="AD70" s="123"/>
      <c r="AE70" s="123"/>
      <c r="AF70" s="123"/>
      <c r="AG70" s="151">
        <f>AH$8*AH70</f>
        <v>0</v>
      </c>
      <c r="AH70" s="133">
        <v>0</v>
      </c>
      <c r="AI70" s="133">
        <f>AG70/AI$8</f>
        <v>0</v>
      </c>
      <c r="AJ70" s="153">
        <f>AG70/AG$18</f>
        <v>0</v>
      </c>
      <c r="AK70" s="123"/>
      <c r="AL70" s="123"/>
    </row>
    <row r="71" spans="1:38" s="92" customFormat="1" ht="14.25" customHeight="1">
      <c r="A71" s="93"/>
      <c r="B71" s="94"/>
      <c r="C71" s="93"/>
      <c r="D71" s="93"/>
      <c r="E71" s="123"/>
      <c r="F71" s="123"/>
      <c r="G71" s="154"/>
      <c r="H71" s="125"/>
      <c r="I71" s="141"/>
      <c r="J71" s="218"/>
      <c r="K71" s="123"/>
      <c r="L71" s="223"/>
      <c r="M71" s="127"/>
      <c r="N71" s="144"/>
      <c r="O71" s="219"/>
      <c r="P71" s="123"/>
      <c r="Q71" s="123"/>
      <c r="R71" s="155"/>
      <c r="S71" s="129"/>
      <c r="T71" s="220"/>
      <c r="U71" s="129"/>
      <c r="V71" s="123"/>
      <c r="W71" s="93"/>
      <c r="X71" s="123"/>
      <c r="Y71" s="156"/>
      <c r="Z71" s="131"/>
      <c r="AA71" s="158"/>
      <c r="AB71" s="221"/>
      <c r="AC71" s="123"/>
      <c r="AD71" s="123"/>
      <c r="AE71" s="123"/>
      <c r="AF71" s="123"/>
      <c r="AG71" s="224"/>
      <c r="AH71" s="133"/>
      <c r="AI71" s="152"/>
      <c r="AJ71" s="222"/>
      <c r="AK71" s="112"/>
      <c r="AL71" s="112"/>
    </row>
    <row r="72" spans="1:38" s="92" customFormat="1" ht="28.2">
      <c r="A72" s="93"/>
      <c r="B72" s="94"/>
      <c r="C72" s="188" t="s">
        <v>58</v>
      </c>
      <c r="D72" s="112"/>
      <c r="E72" s="112"/>
      <c r="F72" s="112"/>
      <c r="G72" s="225">
        <f>SUM(G65:G71)</f>
        <v>44256</v>
      </c>
      <c r="H72" s="226">
        <f>SUM(H66:H71)</f>
        <v>587.21828953566285</v>
      </c>
      <c r="I72" s="227">
        <f>SUM(I66:I71)</f>
        <v>1.7360740624509652</v>
      </c>
      <c r="J72" s="228">
        <f>G72/G$18</f>
        <v>0.11150903900494268</v>
      </c>
      <c r="K72" s="112"/>
      <c r="L72" s="229">
        <f>SUM(L65:L71)</f>
        <v>5547.71</v>
      </c>
      <c r="M72" s="230">
        <f>SUM(M66:M71)</f>
        <v>135.31</v>
      </c>
      <c r="N72" s="231">
        <f>SUM(N66:N71)</f>
        <v>9.6649999999999991</v>
      </c>
      <c r="O72" s="232">
        <f>L72/L$18</f>
        <v>1.9480220327612072E-2</v>
      </c>
      <c r="P72" s="112"/>
      <c r="Q72" s="112"/>
      <c r="R72" s="233">
        <f>SUM(R65:R71)</f>
        <v>60869</v>
      </c>
      <c r="S72" s="234">
        <f>SUM(S66:S71)</f>
        <v>65.875541125541119</v>
      </c>
      <c r="T72" s="235">
        <f>R72/R$18</f>
        <v>6.6625146124579135E-2</v>
      </c>
      <c r="U72" s="118"/>
      <c r="V72" s="112"/>
      <c r="W72" s="112"/>
      <c r="X72" s="112"/>
      <c r="Y72" s="236">
        <f>SUM(Y65:Y71)</f>
        <v>666</v>
      </c>
      <c r="Z72" s="237">
        <f>SUM(Z66:Z71)</f>
        <v>666</v>
      </c>
      <c r="AA72" s="238">
        <f>SUM(AA66:AA71)</f>
        <v>13.875</v>
      </c>
      <c r="AB72" s="239">
        <f>Y72/Y$18</f>
        <v>9.2499999999999999E-2</v>
      </c>
      <c r="AC72" s="112"/>
      <c r="AD72" s="112"/>
      <c r="AE72" s="112"/>
      <c r="AF72" s="112"/>
      <c r="AG72" s="240">
        <f>SUM(AG65:AG71)</f>
        <v>666</v>
      </c>
      <c r="AH72" s="241">
        <f>SUM(AH66:AH71)</f>
        <v>666</v>
      </c>
      <c r="AI72" s="242">
        <f>SUM(AI66:AI71)</f>
        <v>14.8</v>
      </c>
      <c r="AJ72" s="243">
        <f>AG72/AG$18</f>
        <v>9.5073480665822704E-2</v>
      </c>
      <c r="AK72" s="244"/>
      <c r="AL72" s="244"/>
    </row>
    <row r="73" spans="1:38" s="92" customFormat="1" ht="28.2">
      <c r="A73" s="93"/>
      <c r="B73" s="94"/>
      <c r="C73" s="165"/>
      <c r="D73" s="95"/>
      <c r="E73" s="166"/>
      <c r="F73" s="166"/>
      <c r="G73" s="316"/>
      <c r="H73" s="190"/>
      <c r="I73" s="191"/>
      <c r="J73" s="317"/>
      <c r="K73" s="166"/>
      <c r="L73" s="318"/>
      <c r="M73" s="194"/>
      <c r="N73" s="195"/>
      <c r="O73" s="319"/>
      <c r="P73" s="166"/>
      <c r="Q73" s="166"/>
      <c r="R73" s="320"/>
      <c r="S73" s="178"/>
      <c r="T73" s="321"/>
      <c r="U73" s="178"/>
      <c r="V73" s="166"/>
      <c r="W73" s="95"/>
      <c r="X73" s="166"/>
      <c r="Y73" s="322"/>
      <c r="Z73" s="200"/>
      <c r="AA73" s="201"/>
      <c r="AB73" s="323"/>
      <c r="AC73" s="166"/>
      <c r="AD73" s="166"/>
      <c r="AE73" s="166"/>
      <c r="AF73" s="166"/>
      <c r="AG73" s="324"/>
      <c r="AH73" s="204"/>
      <c r="AI73" s="205"/>
      <c r="AJ73" s="325"/>
      <c r="AK73" s="166"/>
      <c r="AL73" s="166"/>
    </row>
    <row r="74" spans="1:38" s="92" customFormat="1" ht="28.2">
      <c r="A74" s="93"/>
      <c r="B74" s="94"/>
      <c r="C74" s="134" t="s">
        <v>25</v>
      </c>
      <c r="D74" s="93"/>
      <c r="E74" s="123"/>
      <c r="F74" s="123"/>
      <c r="G74" s="154"/>
      <c r="H74" s="125"/>
      <c r="I74" s="141"/>
      <c r="J74" s="218"/>
      <c r="K74" s="123"/>
      <c r="L74" s="223"/>
      <c r="M74" s="127"/>
      <c r="N74" s="144"/>
      <c r="O74" s="219"/>
      <c r="P74" s="123"/>
      <c r="Q74" s="123"/>
      <c r="R74" s="155"/>
      <c r="S74" s="129"/>
      <c r="T74" s="220"/>
      <c r="U74" s="129"/>
      <c r="V74" s="123"/>
      <c r="W74" s="93"/>
      <c r="X74" s="123"/>
      <c r="Y74" s="156"/>
      <c r="Z74" s="131"/>
      <c r="AA74" s="158"/>
      <c r="AB74" s="221"/>
      <c r="AC74" s="123"/>
      <c r="AD74" s="123"/>
      <c r="AE74" s="123"/>
      <c r="AF74" s="123"/>
      <c r="AG74" s="224"/>
      <c r="AH74" s="133"/>
      <c r="AI74" s="152"/>
      <c r="AJ74" s="222"/>
      <c r="AK74" s="123"/>
      <c r="AL74" s="123"/>
    </row>
    <row r="75" spans="1:38" s="92" customFormat="1" ht="14.25" customHeight="1">
      <c r="A75" s="93"/>
      <c r="B75" s="94"/>
      <c r="C75" s="93"/>
      <c r="D75" s="93"/>
      <c r="E75" s="123"/>
      <c r="F75" s="123"/>
      <c r="G75" s="154"/>
      <c r="H75" s="125"/>
      <c r="I75" s="141"/>
      <c r="J75" s="218"/>
      <c r="K75" s="123"/>
      <c r="L75" s="223"/>
      <c r="M75" s="127"/>
      <c r="N75" s="144"/>
      <c r="O75" s="219"/>
      <c r="P75" s="123"/>
      <c r="Q75" s="123"/>
      <c r="R75" s="155"/>
      <c r="S75" s="129"/>
      <c r="T75" s="220"/>
      <c r="U75" s="129"/>
      <c r="V75" s="123"/>
      <c r="W75" s="93"/>
      <c r="X75" s="123"/>
      <c r="Y75" s="156"/>
      <c r="Z75" s="131"/>
      <c r="AA75" s="158"/>
      <c r="AB75" s="221"/>
      <c r="AC75" s="123"/>
      <c r="AD75" s="123"/>
      <c r="AE75" s="123"/>
      <c r="AF75" s="123"/>
      <c r="AG75" s="224"/>
      <c r="AH75" s="133"/>
      <c r="AI75" s="152"/>
      <c r="AJ75" s="222"/>
      <c r="AK75" s="123"/>
      <c r="AL75" s="123"/>
    </row>
    <row r="76" spans="1:38" s="92" customFormat="1" ht="28.2">
      <c r="A76" s="93"/>
      <c r="B76" s="94"/>
      <c r="C76" s="93" t="s">
        <v>59</v>
      </c>
      <c r="D76" s="93"/>
      <c r="E76" s="123"/>
      <c r="F76" s="123"/>
      <c r="G76" s="154">
        <v>24232</v>
      </c>
      <c r="H76" s="125">
        <f>G76/H$8</f>
        <v>321.52642787482336</v>
      </c>
      <c r="I76" s="141">
        <f>G76/I$8</f>
        <v>0.95057272869919973</v>
      </c>
      <c r="J76" s="218">
        <f>G76/G$18</f>
        <v>6.105583498661811E-2</v>
      </c>
      <c r="K76" s="123"/>
      <c r="L76" s="143">
        <f t="shared" ref="L76" si="21">$M$8*M76</f>
        <v>0</v>
      </c>
      <c r="M76" s="127">
        <v>0</v>
      </c>
      <c r="N76" s="144">
        <f>L76/N$8</f>
        <v>0</v>
      </c>
      <c r="O76" s="219">
        <f>L76/L$18</f>
        <v>0</v>
      </c>
      <c r="P76" s="123"/>
      <c r="Q76" s="123"/>
      <c r="R76" s="155">
        <f>72171</f>
        <v>72171</v>
      </c>
      <c r="S76" s="129">
        <f>R76/S8</f>
        <v>78.107142857142861</v>
      </c>
      <c r="T76" s="220">
        <f>R76/R$18</f>
        <v>7.8995932592239082E-2</v>
      </c>
      <c r="U76" s="129"/>
      <c r="V76" s="123"/>
      <c r="W76" s="93"/>
      <c r="X76" s="123"/>
      <c r="Y76" s="156">
        <f>Z$8*Z76</f>
        <v>0</v>
      </c>
      <c r="Z76" s="131">
        <v>0</v>
      </c>
      <c r="AA76" s="158">
        <f>Y76/AA$8</f>
        <v>0</v>
      </c>
      <c r="AB76" s="221">
        <f>Y76/Y$18</f>
        <v>0</v>
      </c>
      <c r="AC76" s="123"/>
      <c r="AD76" s="123"/>
      <c r="AE76" s="123"/>
      <c r="AF76" s="123"/>
      <c r="AG76" s="151">
        <f>AH$8*AH76</f>
        <v>0</v>
      </c>
      <c r="AH76" s="133">
        <v>0</v>
      </c>
      <c r="AI76" s="152">
        <f>AG76/AI$8</f>
        <v>0</v>
      </c>
      <c r="AJ76" s="222">
        <f>AG76/AG$18</f>
        <v>0</v>
      </c>
      <c r="AK76" s="123"/>
      <c r="AL76" s="123"/>
    </row>
    <row r="77" spans="1:38" s="92" customFormat="1" ht="14.25" customHeight="1">
      <c r="A77" s="93"/>
      <c r="B77" s="94"/>
      <c r="C77" s="93"/>
      <c r="D77" s="93"/>
      <c r="E77" s="123"/>
      <c r="F77" s="123"/>
      <c r="G77" s="154"/>
      <c r="H77" s="125"/>
      <c r="I77" s="141"/>
      <c r="J77" s="218"/>
      <c r="K77" s="123"/>
      <c r="L77" s="223"/>
      <c r="M77" s="127"/>
      <c r="N77" s="144"/>
      <c r="O77" s="219"/>
      <c r="P77" s="123"/>
      <c r="Q77" s="123"/>
      <c r="R77" s="155"/>
      <c r="S77" s="129"/>
      <c r="T77" s="220"/>
      <c r="U77" s="129"/>
      <c r="V77" s="123"/>
      <c r="W77" s="93"/>
      <c r="X77" s="123"/>
      <c r="Y77" s="156"/>
      <c r="Z77" s="131"/>
      <c r="AA77" s="158"/>
      <c r="AB77" s="221"/>
      <c r="AC77" s="123"/>
      <c r="AD77" s="123"/>
      <c r="AE77" s="123"/>
      <c r="AF77" s="123"/>
      <c r="AG77" s="224"/>
      <c r="AH77" s="133"/>
      <c r="AI77" s="152"/>
      <c r="AJ77" s="222"/>
      <c r="AK77" s="112"/>
      <c r="AL77" s="112"/>
    </row>
    <row r="78" spans="1:38" s="92" customFormat="1" ht="28.2">
      <c r="A78" s="93"/>
      <c r="B78" s="94"/>
      <c r="C78" s="188" t="s">
        <v>60</v>
      </c>
      <c r="D78" s="112"/>
      <c r="E78" s="112"/>
      <c r="F78" s="112"/>
      <c r="G78" s="225">
        <f>SUM(G75:G77)</f>
        <v>24232</v>
      </c>
      <c r="H78" s="226">
        <f>SUM(H76:H77)</f>
        <v>321.52642787482336</v>
      </c>
      <c r="I78" s="227">
        <f>SUM(I76:I77)</f>
        <v>0.95057272869919973</v>
      </c>
      <c r="J78" s="228">
        <f>G78/G$18</f>
        <v>6.105583498661811E-2</v>
      </c>
      <c r="K78" s="112"/>
      <c r="L78" s="229">
        <f>SUM(L75:L77)</f>
        <v>0</v>
      </c>
      <c r="M78" s="230">
        <f>SUM(M76:M77)</f>
        <v>0</v>
      </c>
      <c r="N78" s="231">
        <f>SUM(N76:N77)</f>
        <v>0</v>
      </c>
      <c r="O78" s="232">
        <f>L78/L$18</f>
        <v>0</v>
      </c>
      <c r="P78" s="112"/>
      <c r="Q78" s="112"/>
      <c r="R78" s="233">
        <f>SUM(R75:R77)</f>
        <v>72171</v>
      </c>
      <c r="S78" s="234">
        <f>SUM(S76:S77)</f>
        <v>78.107142857142861</v>
      </c>
      <c r="T78" s="235">
        <f>R78/R$18</f>
        <v>7.8995932592239082E-2</v>
      </c>
      <c r="U78" s="118"/>
      <c r="V78" s="112"/>
      <c r="W78" s="112"/>
      <c r="X78" s="112"/>
      <c r="Y78" s="236">
        <f>SUM(Y75:Y77)</f>
        <v>0</v>
      </c>
      <c r="Z78" s="237">
        <f>SUM(Z76:Z77)</f>
        <v>0</v>
      </c>
      <c r="AA78" s="238">
        <f>SUM(AA76:AA77)</f>
        <v>0</v>
      </c>
      <c r="AB78" s="239">
        <f>Y78/Y$18</f>
        <v>0</v>
      </c>
      <c r="AC78" s="112"/>
      <c r="AD78" s="112"/>
      <c r="AE78" s="112"/>
      <c r="AF78" s="112"/>
      <c r="AG78" s="240">
        <f>SUM(AG75:AG77)</f>
        <v>0</v>
      </c>
      <c r="AH78" s="241">
        <f>SUM(AH76:AH77)</f>
        <v>0</v>
      </c>
      <c r="AI78" s="242">
        <f>SUM(AI76:AI77)</f>
        <v>0</v>
      </c>
      <c r="AJ78" s="243">
        <f>AG78/AG$18</f>
        <v>0</v>
      </c>
      <c r="AK78" s="244"/>
      <c r="AL78" s="244"/>
    </row>
    <row r="79" spans="1:38" s="92" customFormat="1" ht="28.8" thickBot="1">
      <c r="A79" s="93"/>
      <c r="B79" s="94"/>
      <c r="C79" s="93"/>
      <c r="D79" s="93"/>
      <c r="E79" s="123"/>
      <c r="F79" s="123"/>
      <c r="G79" s="207"/>
      <c r="H79" s="125"/>
      <c r="I79" s="141"/>
      <c r="J79" s="264"/>
      <c r="K79" s="123"/>
      <c r="L79" s="209"/>
      <c r="M79" s="127"/>
      <c r="N79" s="144"/>
      <c r="O79" s="265"/>
      <c r="P79" s="123"/>
      <c r="Q79" s="123"/>
      <c r="R79" s="211"/>
      <c r="S79" s="129"/>
      <c r="T79" s="266"/>
      <c r="U79" s="129"/>
      <c r="V79" s="123"/>
      <c r="W79" s="93"/>
      <c r="X79" s="123"/>
      <c r="Y79" s="213"/>
      <c r="Z79" s="131"/>
      <c r="AA79" s="158"/>
      <c r="AB79" s="267"/>
      <c r="AC79" s="123"/>
      <c r="AD79" s="123"/>
      <c r="AE79" s="123"/>
      <c r="AF79" s="123"/>
      <c r="AG79" s="215"/>
      <c r="AH79" s="133"/>
      <c r="AI79" s="152"/>
      <c r="AJ79" s="268"/>
      <c r="AK79" s="123"/>
      <c r="AL79" s="123"/>
    </row>
    <row r="80" spans="1:38" s="92" customFormat="1" ht="28.8" thickTop="1">
      <c r="A80" s="326"/>
      <c r="B80" s="327"/>
      <c r="C80" s="328" t="s">
        <v>61</v>
      </c>
      <c r="D80" s="326"/>
      <c r="E80" s="329"/>
      <c r="F80" s="329"/>
      <c r="G80" s="330">
        <f>G62-G72+G78</f>
        <v>81698.624000000011</v>
      </c>
      <c r="H80" s="331">
        <f>H62-H72+H78</f>
        <v>1084.0321367203828</v>
      </c>
      <c r="I80" s="332">
        <f>I62-I72+I78</f>
        <v>3.2048730582143441</v>
      </c>
      <c r="J80" s="333">
        <f>G80/G$18</f>
        <v>0.20585084621895669</v>
      </c>
      <c r="K80" s="329"/>
      <c r="L80" s="330">
        <f>L62-L72+L78</f>
        <v>65044.04</v>
      </c>
      <c r="M80" s="331">
        <f>M62-M72+M78</f>
        <v>1586.440000000001</v>
      </c>
      <c r="N80" s="332">
        <f>N62-N72+N78</f>
        <v>113.31714285714278</v>
      </c>
      <c r="O80" s="333">
        <f>L80/L$18</f>
        <v>0.22839554161951736</v>
      </c>
      <c r="P80" s="329"/>
      <c r="Q80" s="329"/>
      <c r="R80" s="330">
        <f>R62-R72+R78</f>
        <v>441101</v>
      </c>
      <c r="S80" s="331">
        <f>S62-S72+S78</f>
        <v>477.38203463203456</v>
      </c>
      <c r="T80" s="333">
        <f>R80/R$18</f>
        <v>0.48281421710062566</v>
      </c>
      <c r="U80" s="329"/>
      <c r="V80" s="329"/>
      <c r="W80" s="326"/>
      <c r="X80" s="329"/>
      <c r="Y80" s="330">
        <f>Y62-Y72+Y78</f>
        <v>1882</v>
      </c>
      <c r="Z80" s="331">
        <f>Z62-Z72+Z78</f>
        <v>1882</v>
      </c>
      <c r="AA80" s="332">
        <f>AA62-AA72+AA78</f>
        <v>39.208333333333343</v>
      </c>
      <c r="AB80" s="333">
        <f>Y80/Y$18</f>
        <v>0.26138888888888889</v>
      </c>
      <c r="AC80" s="329"/>
      <c r="AD80" s="329"/>
      <c r="AE80" s="329"/>
      <c r="AF80" s="329"/>
      <c r="AG80" s="330">
        <f>AG62-AG72+AG78</f>
        <v>1163.1080000000002</v>
      </c>
      <c r="AH80" s="331">
        <f>AH62-AH72+AH78</f>
        <v>1163.1080000000002</v>
      </c>
      <c r="AI80" s="332">
        <f>AI62-AI72+AI78</f>
        <v>25.846844444444454</v>
      </c>
      <c r="AJ80" s="333">
        <f>AG80/AG$18</f>
        <v>0.16603712605144705</v>
      </c>
      <c r="AK80" s="329"/>
      <c r="AL80" s="329"/>
    </row>
    <row r="81" spans="1:38" ht="21">
      <c r="A81" s="32"/>
      <c r="B81" s="47"/>
      <c r="C81" s="50"/>
      <c r="D81" s="49"/>
      <c r="E81" s="51"/>
      <c r="F81" s="51"/>
      <c r="G81" s="57"/>
      <c r="H81" s="53"/>
      <c r="I81" s="53"/>
      <c r="J81" s="62"/>
      <c r="K81" s="51"/>
      <c r="L81" s="58"/>
      <c r="M81" s="54"/>
      <c r="N81" s="54"/>
      <c r="O81" s="63"/>
      <c r="P81" s="51"/>
      <c r="Q81" s="51"/>
      <c r="R81" s="59"/>
      <c r="S81" s="52"/>
      <c r="T81" s="64"/>
      <c r="U81" s="52"/>
      <c r="V81" s="51"/>
      <c r="W81" s="49"/>
      <c r="X81" s="51"/>
      <c r="Y81" s="60"/>
      <c r="Z81" s="55"/>
      <c r="AA81" s="55"/>
      <c r="AB81" s="65"/>
      <c r="AC81" s="51"/>
      <c r="AD81" s="51"/>
      <c r="AE81" s="51"/>
      <c r="AF81" s="51"/>
      <c r="AG81" s="61"/>
      <c r="AH81" s="56"/>
      <c r="AI81" s="56"/>
      <c r="AJ81" s="66"/>
      <c r="AK81" s="51"/>
      <c r="AL81" s="7"/>
    </row>
    <row r="82" spans="1:38" ht="5.25" customHeight="1">
      <c r="A82" s="3"/>
      <c r="B82" s="10"/>
      <c r="C82" s="11"/>
      <c r="D82" s="11"/>
      <c r="E82" s="12"/>
      <c r="F82" s="12"/>
      <c r="G82" s="13"/>
      <c r="H82" s="14"/>
      <c r="I82" s="14"/>
      <c r="J82" s="15"/>
      <c r="K82" s="12"/>
      <c r="L82" s="16"/>
      <c r="M82" s="17"/>
      <c r="N82" s="17"/>
      <c r="O82" s="18"/>
      <c r="P82" s="12"/>
      <c r="Q82" s="12"/>
      <c r="R82" s="19"/>
      <c r="S82" s="20"/>
      <c r="T82" s="21"/>
      <c r="U82" s="20"/>
      <c r="V82" s="12"/>
      <c r="W82" s="11"/>
      <c r="X82" s="12"/>
      <c r="Y82" s="22"/>
      <c r="Z82" s="23"/>
      <c r="AA82" s="23"/>
      <c r="AB82" s="24"/>
      <c r="AC82" s="12"/>
      <c r="AD82" s="12"/>
      <c r="AE82" s="12"/>
      <c r="AF82" s="12"/>
      <c r="AG82" s="22"/>
      <c r="AH82" s="23"/>
      <c r="AI82" s="23"/>
      <c r="AJ82" s="24"/>
      <c r="AK82" s="12"/>
      <c r="AL82" s="12"/>
    </row>
    <row r="83" spans="1:38">
      <c r="A83" s="3"/>
      <c r="B83" s="3"/>
      <c r="C83" s="3"/>
      <c r="D83" s="3"/>
      <c r="E83" s="9"/>
      <c r="F83" s="9"/>
      <c r="G83" s="25"/>
      <c r="H83" s="9"/>
      <c r="I83" s="9"/>
      <c r="J83" s="26"/>
      <c r="K83" s="9"/>
      <c r="L83" s="25"/>
      <c r="M83" s="9"/>
      <c r="N83" s="9"/>
      <c r="O83" s="26"/>
      <c r="P83" s="9"/>
      <c r="Q83" s="9"/>
      <c r="R83" s="25"/>
      <c r="S83" s="9"/>
      <c r="T83" s="26"/>
      <c r="U83" s="9"/>
      <c r="V83" s="9"/>
      <c r="W83" s="3"/>
      <c r="X83" s="9"/>
      <c r="Y83" s="25"/>
      <c r="Z83" s="9"/>
      <c r="AA83" s="9"/>
      <c r="AB83" s="26"/>
      <c r="AC83" s="9"/>
      <c r="AD83" s="9"/>
      <c r="AE83" s="9"/>
      <c r="AF83" s="9"/>
      <c r="AG83" s="25"/>
      <c r="AH83" s="9"/>
      <c r="AI83" s="9"/>
      <c r="AJ83" s="26"/>
    </row>
    <row r="84" spans="1:38" s="27" customFormat="1">
      <c r="E84" s="28"/>
      <c r="F84" s="28"/>
      <c r="H84" s="28"/>
      <c r="I84" s="28"/>
      <c r="J84" s="28"/>
      <c r="K84" s="28"/>
      <c r="M84" s="28"/>
      <c r="N84" s="28"/>
      <c r="O84" s="28"/>
      <c r="P84" s="28"/>
      <c r="Q84" s="28"/>
      <c r="S84" s="28"/>
      <c r="T84" s="28"/>
      <c r="U84" s="28"/>
      <c r="V84" s="28"/>
      <c r="X84" s="28"/>
      <c r="Z84" s="28"/>
      <c r="AA84" s="28"/>
      <c r="AB84" s="28"/>
      <c r="AC84" s="28"/>
      <c r="AD84" s="28"/>
      <c r="AE84" s="28"/>
      <c r="AF84" s="28"/>
      <c r="AH84" s="28"/>
      <c r="AI84" s="28"/>
      <c r="AJ84" s="28"/>
      <c r="AK84" s="28"/>
      <c r="AL84" s="28"/>
    </row>
    <row r="85" spans="1:38" s="27" customFormat="1">
      <c r="E85" s="28"/>
      <c r="F85" s="28"/>
      <c r="H85" s="28"/>
      <c r="I85" s="28"/>
      <c r="J85" s="28"/>
      <c r="K85" s="28"/>
      <c r="M85" s="28"/>
      <c r="N85" s="28"/>
      <c r="O85" s="28"/>
      <c r="P85" s="28"/>
      <c r="Q85" s="28"/>
      <c r="S85" s="28"/>
      <c r="T85" s="28"/>
      <c r="U85" s="28"/>
      <c r="V85" s="28"/>
      <c r="X85" s="28"/>
      <c r="Z85" s="28"/>
      <c r="AA85" s="28"/>
      <c r="AB85" s="28"/>
      <c r="AC85" s="28"/>
      <c r="AD85" s="28"/>
      <c r="AE85" s="28"/>
      <c r="AF85" s="28"/>
      <c r="AH85" s="28"/>
      <c r="AI85" s="28"/>
      <c r="AJ85" s="28"/>
      <c r="AK85" s="28"/>
      <c r="AL85" s="28"/>
    </row>
    <row r="86" spans="1:38" s="27" customFormat="1">
      <c r="E86" s="28"/>
      <c r="F86" s="28"/>
      <c r="H86" s="28"/>
      <c r="I86" s="28"/>
      <c r="J86" s="28"/>
      <c r="K86" s="28"/>
      <c r="M86" s="28"/>
      <c r="N86" s="28"/>
      <c r="O86" s="28"/>
      <c r="P86" s="28"/>
      <c r="Q86" s="28"/>
      <c r="S86" s="28"/>
      <c r="T86" s="28"/>
      <c r="U86" s="28"/>
      <c r="V86" s="28"/>
      <c r="X86" s="28"/>
      <c r="Z86" s="28"/>
      <c r="AA86" s="28"/>
      <c r="AB86" s="28"/>
      <c r="AC86" s="28"/>
      <c r="AD86" s="28"/>
      <c r="AE86" s="28"/>
      <c r="AF86" s="28"/>
      <c r="AH86" s="28"/>
      <c r="AI86" s="28"/>
      <c r="AJ86" s="28"/>
      <c r="AK86" s="28"/>
      <c r="AL86" s="28"/>
    </row>
    <row r="87" spans="1:38" s="27" customFormat="1">
      <c r="E87" s="28"/>
      <c r="F87" s="28"/>
      <c r="H87" s="28"/>
      <c r="I87" s="28"/>
      <c r="J87" s="28"/>
      <c r="K87" s="28"/>
      <c r="M87" s="28"/>
      <c r="N87" s="28"/>
      <c r="O87" s="28"/>
      <c r="P87" s="28"/>
      <c r="Q87" s="28"/>
      <c r="S87" s="28"/>
      <c r="T87" s="28"/>
      <c r="U87" s="28"/>
      <c r="V87" s="28"/>
      <c r="X87" s="28"/>
      <c r="Z87" s="28"/>
      <c r="AA87" s="28"/>
      <c r="AB87" s="28"/>
      <c r="AC87" s="28"/>
      <c r="AD87" s="28"/>
      <c r="AE87" s="28"/>
      <c r="AF87" s="28"/>
      <c r="AH87" s="28"/>
      <c r="AI87" s="28"/>
      <c r="AJ87" s="28"/>
      <c r="AK87" s="28"/>
      <c r="AL87" s="28"/>
    </row>
    <row r="88" spans="1:38" s="27" customFormat="1">
      <c r="E88" s="28"/>
      <c r="F88" s="28"/>
      <c r="H88" s="28"/>
      <c r="I88" s="28"/>
      <c r="J88" s="28"/>
      <c r="K88" s="28"/>
      <c r="M88" s="28"/>
      <c r="N88" s="28"/>
      <c r="O88" s="28"/>
      <c r="P88" s="28"/>
      <c r="Q88" s="28"/>
      <c r="S88" s="28"/>
      <c r="T88" s="28"/>
      <c r="U88" s="28"/>
      <c r="V88" s="28"/>
      <c r="X88" s="28"/>
      <c r="Z88" s="28"/>
      <c r="AA88" s="28"/>
      <c r="AB88" s="28"/>
      <c r="AC88" s="28"/>
      <c r="AD88" s="28"/>
      <c r="AE88" s="28"/>
      <c r="AF88" s="28"/>
      <c r="AH88" s="28"/>
      <c r="AI88" s="28"/>
      <c r="AJ88" s="28"/>
      <c r="AK88" s="28"/>
      <c r="AL88" s="28"/>
    </row>
    <row r="89" spans="1:38" s="27" customFormat="1">
      <c r="E89" s="28"/>
      <c r="F89" s="28"/>
      <c r="H89" s="28"/>
      <c r="I89" s="28"/>
      <c r="J89" s="28"/>
      <c r="K89" s="28"/>
      <c r="M89" s="28"/>
      <c r="N89" s="28"/>
      <c r="O89" s="28"/>
      <c r="P89" s="28"/>
      <c r="Q89" s="28"/>
      <c r="S89" s="28"/>
      <c r="T89" s="28"/>
      <c r="U89" s="28"/>
      <c r="V89" s="28"/>
      <c r="X89" s="28"/>
      <c r="Z89" s="28"/>
      <c r="AA89" s="28"/>
      <c r="AB89" s="28"/>
      <c r="AC89" s="28"/>
      <c r="AD89" s="28"/>
      <c r="AE89" s="28"/>
      <c r="AF89" s="28"/>
      <c r="AH89" s="28"/>
      <c r="AI89" s="28"/>
      <c r="AJ89" s="28"/>
      <c r="AK89" s="28"/>
      <c r="AL89" s="28"/>
    </row>
    <row r="90" spans="1:38" s="27" customFormat="1">
      <c r="E90" s="28"/>
      <c r="F90" s="28"/>
      <c r="H90" s="28"/>
      <c r="I90" s="28"/>
      <c r="J90" s="28"/>
      <c r="K90" s="28"/>
      <c r="M90" s="28"/>
      <c r="N90" s="28"/>
      <c r="O90" s="28"/>
      <c r="P90" s="28"/>
      <c r="Q90" s="28"/>
      <c r="S90" s="28"/>
      <c r="T90" s="28"/>
      <c r="U90" s="28"/>
      <c r="V90" s="28"/>
      <c r="X90" s="28"/>
      <c r="Z90" s="28"/>
      <c r="AA90" s="28"/>
      <c r="AB90" s="28"/>
      <c r="AC90" s="28"/>
      <c r="AD90" s="28"/>
      <c r="AE90" s="28"/>
      <c r="AF90" s="28"/>
      <c r="AH90" s="28"/>
      <c r="AI90" s="28"/>
      <c r="AJ90" s="28"/>
      <c r="AK90" s="28"/>
      <c r="AL90" s="28"/>
    </row>
    <row r="91" spans="1:38" s="27" customFormat="1">
      <c r="E91" s="28"/>
      <c r="F91" s="28"/>
      <c r="H91" s="28"/>
      <c r="I91" s="28"/>
      <c r="J91" s="28"/>
      <c r="K91" s="28"/>
      <c r="M91" s="28"/>
      <c r="N91" s="28"/>
      <c r="O91" s="28"/>
      <c r="P91" s="28"/>
      <c r="Q91" s="28"/>
      <c r="S91" s="28"/>
      <c r="T91" s="28"/>
      <c r="U91" s="28"/>
      <c r="V91" s="28"/>
      <c r="X91" s="28"/>
      <c r="Z91" s="28"/>
      <c r="AA91" s="28"/>
      <c r="AB91" s="28"/>
      <c r="AC91" s="28"/>
      <c r="AD91" s="28"/>
      <c r="AE91" s="28"/>
      <c r="AF91" s="28"/>
      <c r="AH91" s="28"/>
      <c r="AI91" s="28"/>
      <c r="AJ91" s="28"/>
      <c r="AK91" s="28"/>
      <c r="AL91" s="28"/>
    </row>
    <row r="92" spans="1:38" s="27" customFormat="1">
      <c r="E92" s="28"/>
      <c r="F92" s="28"/>
      <c r="H92" s="28"/>
      <c r="I92" s="28"/>
      <c r="J92" s="28"/>
      <c r="K92" s="28"/>
      <c r="M92" s="28"/>
      <c r="N92" s="28"/>
      <c r="O92" s="28"/>
      <c r="P92" s="28"/>
      <c r="Q92" s="28"/>
      <c r="S92" s="28"/>
      <c r="T92" s="28"/>
      <c r="U92" s="28"/>
      <c r="V92" s="28"/>
      <c r="X92" s="28"/>
      <c r="Z92" s="28"/>
      <c r="AA92" s="28"/>
      <c r="AB92" s="28"/>
      <c r="AC92" s="28"/>
      <c r="AD92" s="28"/>
      <c r="AE92" s="28"/>
      <c r="AF92" s="28"/>
      <c r="AH92" s="28"/>
      <c r="AI92" s="28"/>
      <c r="AJ92" s="28"/>
      <c r="AK92" s="28"/>
      <c r="AL92" s="28"/>
    </row>
    <row r="93" spans="1:38" s="27" customFormat="1">
      <c r="E93" s="28"/>
      <c r="F93" s="28"/>
      <c r="H93" s="28"/>
      <c r="I93" s="28"/>
      <c r="J93" s="28"/>
      <c r="K93" s="28"/>
      <c r="M93" s="28"/>
      <c r="N93" s="28"/>
      <c r="O93" s="28"/>
      <c r="P93" s="28"/>
      <c r="Q93" s="28"/>
      <c r="S93" s="28"/>
      <c r="T93" s="28"/>
      <c r="U93" s="28"/>
      <c r="V93" s="28"/>
      <c r="X93" s="28"/>
      <c r="Z93" s="28"/>
      <c r="AA93" s="28"/>
      <c r="AB93" s="28"/>
      <c r="AC93" s="28"/>
      <c r="AD93" s="28"/>
      <c r="AE93" s="28"/>
      <c r="AF93" s="28"/>
      <c r="AH93" s="28"/>
      <c r="AI93" s="28"/>
      <c r="AJ93" s="28"/>
      <c r="AK93" s="28"/>
      <c r="AL93" s="28"/>
    </row>
    <row r="94" spans="1:38" s="27" customFormat="1">
      <c r="E94" s="28"/>
      <c r="F94" s="28"/>
      <c r="H94" s="28"/>
      <c r="I94" s="28"/>
      <c r="J94" s="28"/>
      <c r="K94" s="28"/>
      <c r="M94" s="28"/>
      <c r="N94" s="28"/>
      <c r="O94" s="28"/>
      <c r="P94" s="28"/>
      <c r="Q94" s="28"/>
      <c r="S94" s="28"/>
      <c r="T94" s="28"/>
      <c r="U94" s="28"/>
      <c r="V94" s="28"/>
      <c r="X94" s="28"/>
      <c r="Z94" s="28"/>
      <c r="AA94" s="28"/>
      <c r="AB94" s="28"/>
      <c r="AC94" s="28"/>
      <c r="AD94" s="28"/>
      <c r="AE94" s="28"/>
      <c r="AF94" s="28"/>
      <c r="AH94" s="28"/>
      <c r="AI94" s="28"/>
      <c r="AJ94" s="28"/>
      <c r="AK94" s="28"/>
      <c r="AL94" s="28"/>
    </row>
    <row r="95" spans="1:38" s="27" customFormat="1">
      <c r="E95" s="28"/>
      <c r="F95" s="28"/>
      <c r="H95" s="28"/>
      <c r="I95" s="28"/>
      <c r="J95" s="28"/>
      <c r="K95" s="28"/>
      <c r="M95" s="28"/>
      <c r="N95" s="28"/>
      <c r="O95" s="28"/>
      <c r="P95" s="28"/>
      <c r="Q95" s="28"/>
      <c r="S95" s="28"/>
      <c r="T95" s="28"/>
      <c r="U95" s="28"/>
      <c r="V95" s="28"/>
      <c r="X95" s="28"/>
      <c r="Z95" s="28"/>
      <c r="AA95" s="28"/>
      <c r="AB95" s="28"/>
      <c r="AC95" s="28"/>
      <c r="AD95" s="28"/>
      <c r="AE95" s="28"/>
      <c r="AF95" s="28"/>
      <c r="AH95" s="28"/>
      <c r="AI95" s="28"/>
      <c r="AJ95" s="28"/>
      <c r="AK95" s="28"/>
      <c r="AL95" s="28"/>
    </row>
    <row r="96" spans="1:38" s="27" customFormat="1">
      <c r="E96" s="28"/>
      <c r="F96" s="28"/>
      <c r="H96" s="28"/>
      <c r="I96" s="28"/>
      <c r="J96" s="28"/>
      <c r="K96" s="28"/>
      <c r="M96" s="28"/>
      <c r="N96" s="28"/>
      <c r="O96" s="28"/>
      <c r="P96" s="28"/>
      <c r="Q96" s="28"/>
      <c r="S96" s="28"/>
      <c r="T96" s="28"/>
      <c r="U96" s="28"/>
      <c r="V96" s="28"/>
      <c r="X96" s="28"/>
      <c r="Z96" s="28"/>
      <c r="AA96" s="28"/>
      <c r="AB96" s="28"/>
      <c r="AC96" s="28"/>
      <c r="AD96" s="28"/>
      <c r="AE96" s="28"/>
      <c r="AF96" s="28"/>
      <c r="AH96" s="28"/>
      <c r="AI96" s="28"/>
      <c r="AJ96" s="28"/>
      <c r="AK96" s="28"/>
      <c r="AL96" s="28"/>
    </row>
    <row r="97" spans="1:38" s="27" customFormat="1">
      <c r="E97" s="28"/>
      <c r="F97" s="28"/>
      <c r="H97" s="28"/>
      <c r="I97" s="28"/>
      <c r="J97" s="28"/>
      <c r="K97" s="28"/>
      <c r="M97" s="28"/>
      <c r="N97" s="28"/>
      <c r="O97" s="28"/>
      <c r="P97" s="28"/>
      <c r="Q97" s="28"/>
      <c r="S97" s="28"/>
      <c r="T97" s="28"/>
      <c r="U97" s="28"/>
      <c r="V97" s="28"/>
      <c r="X97" s="28"/>
      <c r="Z97" s="28"/>
      <c r="AA97" s="28"/>
      <c r="AB97" s="28"/>
      <c r="AC97" s="28"/>
      <c r="AD97" s="28"/>
      <c r="AE97" s="28"/>
      <c r="AF97" s="28"/>
      <c r="AH97" s="28"/>
      <c r="AI97" s="28"/>
      <c r="AJ97" s="28"/>
      <c r="AK97" s="28"/>
      <c r="AL97" s="28"/>
    </row>
    <row r="98" spans="1:38" s="27" customFormat="1">
      <c r="E98" s="28"/>
      <c r="F98" s="28"/>
      <c r="H98" s="28"/>
      <c r="I98" s="28"/>
      <c r="J98" s="28"/>
      <c r="K98" s="28"/>
      <c r="M98" s="28"/>
      <c r="N98" s="28"/>
      <c r="O98" s="28"/>
      <c r="P98" s="28"/>
      <c r="Q98" s="28"/>
      <c r="S98" s="28"/>
      <c r="T98" s="28"/>
      <c r="U98" s="28"/>
      <c r="V98" s="28"/>
      <c r="X98" s="28"/>
      <c r="Z98" s="28"/>
      <c r="AA98" s="28"/>
      <c r="AB98" s="28"/>
      <c r="AC98" s="28"/>
      <c r="AD98" s="28"/>
      <c r="AE98" s="28"/>
      <c r="AF98" s="28"/>
      <c r="AH98" s="28"/>
      <c r="AI98" s="28"/>
      <c r="AJ98" s="28"/>
      <c r="AK98" s="28"/>
      <c r="AL98" s="28"/>
    </row>
    <row r="99" spans="1:38" s="27" customFormat="1">
      <c r="E99" s="28"/>
      <c r="F99" s="28"/>
      <c r="H99" s="28"/>
      <c r="I99" s="28"/>
      <c r="J99" s="28"/>
      <c r="K99" s="28"/>
      <c r="M99" s="28"/>
      <c r="N99" s="28"/>
      <c r="O99" s="28"/>
      <c r="P99" s="28"/>
      <c r="Q99" s="28"/>
      <c r="S99" s="28"/>
      <c r="T99" s="28"/>
      <c r="U99" s="28"/>
      <c r="V99" s="28"/>
      <c r="X99" s="28"/>
      <c r="Z99" s="28"/>
      <c r="AA99" s="28"/>
      <c r="AB99" s="28"/>
      <c r="AC99" s="28"/>
      <c r="AD99" s="28"/>
      <c r="AE99" s="28"/>
      <c r="AF99" s="28"/>
      <c r="AH99" s="28"/>
      <c r="AI99" s="28"/>
      <c r="AJ99" s="28"/>
      <c r="AK99" s="28"/>
      <c r="AL99" s="28"/>
    </row>
    <row r="100" spans="1:38" s="27" customFormat="1">
      <c r="E100" s="28"/>
      <c r="F100" s="28"/>
      <c r="H100" s="28"/>
      <c r="I100" s="28"/>
      <c r="J100" s="28"/>
      <c r="K100" s="28"/>
      <c r="M100" s="28"/>
      <c r="N100" s="28"/>
      <c r="O100" s="28"/>
      <c r="P100" s="28"/>
      <c r="Q100" s="28"/>
      <c r="S100" s="28"/>
      <c r="T100" s="28"/>
      <c r="U100" s="28"/>
      <c r="V100" s="28"/>
      <c r="X100" s="28"/>
      <c r="Z100" s="28"/>
      <c r="AA100" s="28"/>
      <c r="AB100" s="28"/>
      <c r="AC100" s="28"/>
      <c r="AD100" s="28"/>
      <c r="AE100" s="28"/>
      <c r="AF100" s="28"/>
      <c r="AH100" s="28"/>
      <c r="AI100" s="28"/>
      <c r="AJ100" s="28"/>
      <c r="AK100" s="28"/>
      <c r="AL100" s="28"/>
    </row>
    <row r="101" spans="1:38" s="27" customFormat="1">
      <c r="E101" s="28"/>
      <c r="F101" s="28"/>
      <c r="H101" s="28"/>
      <c r="I101" s="28"/>
      <c r="J101" s="28"/>
      <c r="K101" s="28"/>
      <c r="M101" s="28"/>
      <c r="N101" s="28"/>
      <c r="O101" s="28"/>
      <c r="P101" s="28"/>
      <c r="Q101" s="28"/>
      <c r="S101" s="28"/>
      <c r="T101" s="28"/>
      <c r="U101" s="28"/>
      <c r="V101" s="28"/>
      <c r="X101" s="28"/>
      <c r="Z101" s="28"/>
      <c r="AA101" s="28"/>
      <c r="AB101" s="28"/>
      <c r="AC101" s="28"/>
      <c r="AD101" s="28"/>
      <c r="AE101" s="28"/>
      <c r="AF101" s="28"/>
      <c r="AH101" s="28"/>
      <c r="AI101" s="28"/>
      <c r="AJ101" s="28"/>
      <c r="AK101" s="28"/>
      <c r="AL101" s="28"/>
    </row>
    <row r="102" spans="1:38" s="27" customFormat="1">
      <c r="E102" s="28"/>
      <c r="F102" s="28"/>
      <c r="H102" s="28"/>
      <c r="I102" s="28"/>
      <c r="J102" s="28"/>
      <c r="K102" s="28"/>
      <c r="M102" s="28"/>
      <c r="N102" s="28"/>
      <c r="O102" s="28"/>
      <c r="P102" s="28"/>
      <c r="Q102" s="28"/>
      <c r="S102" s="28"/>
      <c r="T102" s="28"/>
      <c r="U102" s="28"/>
      <c r="V102" s="28"/>
      <c r="X102" s="28"/>
      <c r="Z102" s="28"/>
      <c r="AA102" s="28"/>
      <c r="AB102" s="28"/>
      <c r="AC102" s="28"/>
      <c r="AD102" s="28"/>
      <c r="AE102" s="28"/>
      <c r="AF102" s="28"/>
      <c r="AH102" s="28"/>
      <c r="AI102" s="28"/>
      <c r="AJ102" s="28"/>
      <c r="AK102" s="28"/>
      <c r="AL102" s="28"/>
    </row>
    <row r="103" spans="1:38" s="27" customFormat="1">
      <c r="E103" s="28"/>
      <c r="F103" s="28"/>
      <c r="H103" s="28"/>
      <c r="I103" s="28"/>
      <c r="J103" s="28"/>
      <c r="K103" s="28"/>
      <c r="M103" s="28"/>
      <c r="N103" s="28"/>
      <c r="O103" s="28"/>
      <c r="P103" s="28"/>
      <c r="Q103" s="28"/>
      <c r="S103" s="28"/>
      <c r="T103" s="28"/>
      <c r="U103" s="28"/>
      <c r="V103" s="28"/>
      <c r="X103" s="28"/>
      <c r="Z103" s="28"/>
      <c r="AA103" s="28"/>
      <c r="AB103" s="28"/>
      <c r="AC103" s="28"/>
      <c r="AD103" s="28"/>
      <c r="AE103" s="28"/>
      <c r="AF103" s="28"/>
      <c r="AH103" s="28"/>
      <c r="AI103" s="28"/>
      <c r="AJ103" s="28"/>
      <c r="AK103" s="28"/>
      <c r="AL103" s="28"/>
    </row>
    <row r="104" spans="1:38" s="27" customFormat="1">
      <c r="E104" s="28"/>
      <c r="F104" s="28"/>
      <c r="H104" s="28"/>
      <c r="I104" s="28"/>
      <c r="J104" s="28"/>
      <c r="K104" s="28"/>
      <c r="M104" s="28"/>
      <c r="N104" s="28"/>
      <c r="O104" s="28"/>
      <c r="P104" s="28"/>
      <c r="Q104" s="28"/>
      <c r="S104" s="28"/>
      <c r="T104" s="28"/>
      <c r="U104" s="28"/>
      <c r="V104" s="28"/>
      <c r="X104" s="28"/>
      <c r="Z104" s="28"/>
      <c r="AA104" s="28"/>
      <c r="AB104" s="28"/>
      <c r="AC104" s="28"/>
      <c r="AD104" s="28"/>
      <c r="AE104" s="28"/>
      <c r="AF104" s="28"/>
      <c r="AH104" s="28"/>
      <c r="AI104" s="28"/>
      <c r="AJ104" s="28"/>
      <c r="AK104" s="28"/>
      <c r="AL104" s="28"/>
    </row>
    <row r="105" spans="1:38" s="28" customFormat="1">
      <c r="A105" s="27"/>
      <c r="B105" s="27"/>
      <c r="C105" s="27"/>
      <c r="D105" s="27"/>
      <c r="G105" s="27"/>
      <c r="L105" s="27"/>
      <c r="R105" s="27"/>
      <c r="W105" s="27"/>
      <c r="Y105" s="27"/>
      <c r="AG105" s="27"/>
    </row>
    <row r="106" spans="1:38" s="27" customFormat="1">
      <c r="E106" s="28"/>
      <c r="F106" s="28"/>
      <c r="H106" s="28"/>
      <c r="I106" s="28"/>
      <c r="J106" s="28"/>
      <c r="K106" s="28"/>
      <c r="M106" s="28"/>
      <c r="N106" s="28"/>
      <c r="O106" s="28"/>
      <c r="P106" s="28"/>
      <c r="Q106" s="28"/>
      <c r="S106" s="28"/>
      <c r="T106" s="28"/>
      <c r="U106" s="28"/>
      <c r="V106" s="28"/>
      <c r="X106" s="28"/>
      <c r="Z106" s="28"/>
      <c r="AA106" s="28"/>
      <c r="AB106" s="28"/>
      <c r="AC106" s="28"/>
      <c r="AD106" s="28"/>
      <c r="AE106" s="28"/>
      <c r="AF106" s="28"/>
      <c r="AH106" s="28"/>
      <c r="AI106" s="28"/>
      <c r="AJ106" s="28"/>
      <c r="AK106" s="28"/>
      <c r="AL106" s="28"/>
    </row>
    <row r="107" spans="1:38" s="27" customFormat="1">
      <c r="E107" s="28"/>
      <c r="F107" s="28"/>
      <c r="H107" s="28"/>
      <c r="I107" s="28"/>
      <c r="J107" s="28"/>
      <c r="K107" s="28"/>
      <c r="M107" s="28"/>
      <c r="N107" s="28"/>
      <c r="O107" s="28"/>
      <c r="P107" s="28"/>
      <c r="Q107" s="28"/>
      <c r="S107" s="28"/>
      <c r="T107" s="28"/>
      <c r="U107" s="28"/>
      <c r="V107" s="28"/>
      <c r="X107" s="28"/>
      <c r="Z107" s="28"/>
      <c r="AA107" s="28"/>
      <c r="AB107" s="28"/>
      <c r="AC107" s="28"/>
      <c r="AD107" s="28"/>
      <c r="AE107" s="28"/>
      <c r="AF107" s="28"/>
      <c r="AH107" s="28"/>
      <c r="AI107" s="28"/>
      <c r="AJ107" s="28"/>
      <c r="AK107" s="28"/>
      <c r="AL107" s="28"/>
    </row>
    <row r="108" spans="1:38" s="27" customFormat="1">
      <c r="E108" s="28"/>
      <c r="F108" s="28"/>
      <c r="H108" s="28"/>
      <c r="I108" s="28"/>
      <c r="J108" s="28"/>
      <c r="K108" s="28"/>
      <c r="M108" s="28"/>
      <c r="N108" s="28"/>
      <c r="O108" s="28"/>
      <c r="P108" s="28"/>
      <c r="Q108" s="28"/>
      <c r="S108" s="28"/>
      <c r="T108" s="28"/>
      <c r="U108" s="28"/>
      <c r="V108" s="28"/>
      <c r="X108" s="28"/>
      <c r="Z108" s="28"/>
      <c r="AA108" s="28"/>
      <c r="AB108" s="28"/>
      <c r="AC108" s="28"/>
      <c r="AD108" s="28"/>
      <c r="AE108" s="28"/>
      <c r="AF108" s="28"/>
      <c r="AH108" s="28"/>
      <c r="AI108" s="28"/>
      <c r="AJ108" s="28"/>
      <c r="AK108" s="28"/>
      <c r="AL108" s="28"/>
    </row>
    <row r="109" spans="1:38" s="27" customFormat="1">
      <c r="E109" s="28"/>
      <c r="F109" s="28"/>
      <c r="H109" s="28"/>
      <c r="I109" s="28"/>
      <c r="J109" s="28"/>
      <c r="K109" s="28"/>
      <c r="M109" s="28"/>
      <c r="N109" s="28"/>
      <c r="O109" s="28"/>
      <c r="P109" s="28"/>
      <c r="Q109" s="28"/>
      <c r="S109" s="28"/>
      <c r="T109" s="28"/>
      <c r="U109" s="28"/>
      <c r="V109" s="28"/>
      <c r="X109" s="28"/>
      <c r="Z109" s="28"/>
      <c r="AA109" s="28"/>
      <c r="AB109" s="28"/>
      <c r="AC109" s="28"/>
      <c r="AD109" s="28"/>
      <c r="AE109" s="28"/>
      <c r="AF109" s="28"/>
      <c r="AH109" s="28"/>
      <c r="AI109" s="28"/>
      <c r="AJ109" s="28"/>
      <c r="AK109" s="28"/>
      <c r="AL109" s="28"/>
    </row>
  </sheetData>
  <mergeCells count="15">
    <mergeCell ref="R2:U2"/>
    <mergeCell ref="M67:M70"/>
    <mergeCell ref="G6:G7"/>
    <mergeCell ref="L6:L7"/>
    <mergeCell ref="R6:R7"/>
    <mergeCell ref="Y6:Y7"/>
    <mergeCell ref="AG6:AG7"/>
    <mergeCell ref="Y2:AJ2"/>
    <mergeCell ref="G5:J5"/>
    <mergeCell ref="L5:O5"/>
    <mergeCell ref="R5:T5"/>
    <mergeCell ref="Y5:AB5"/>
    <mergeCell ref="AG5:AJ5"/>
    <mergeCell ref="G2:J2"/>
    <mergeCell ref="L2:O2"/>
  </mergeCells>
  <printOptions horizontalCentered="1" verticalCentered="1"/>
  <pageMargins left="0.25" right="0.25" top="0.75" bottom="0.75" header="0.3" footer="0.3"/>
  <pageSetup scale="2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bbbdfe-e28d-4400-a787-fa8689654ece">
      <Terms xmlns="http://schemas.microsoft.com/office/infopath/2007/PartnerControls"/>
    </lcf76f155ced4ddcb4097134ff3c332f>
    <TaxCatchAll xmlns="b995caa8-c599-465c-85e6-d061a0aa3d2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35C37FF0B7BF40A469807B3557D740" ma:contentTypeVersion="19" ma:contentTypeDescription="Crée un document." ma:contentTypeScope="" ma:versionID="4ab4dfc8dda79bec05c407b6a75d6ebe">
  <xsd:schema xmlns:xsd="http://www.w3.org/2001/XMLSchema" xmlns:xs="http://www.w3.org/2001/XMLSchema" xmlns:p="http://schemas.microsoft.com/office/2006/metadata/properties" xmlns:ns2="b9bbbdfe-e28d-4400-a787-fa8689654ece" xmlns:ns3="b995caa8-c599-465c-85e6-d061a0aa3d29" targetNamespace="http://schemas.microsoft.com/office/2006/metadata/properties" ma:root="true" ma:fieldsID="60e9b83ce8d4b0950cd7acf541dfaa15" ns2:_="" ns3:_="">
    <xsd:import namespace="b9bbbdfe-e28d-4400-a787-fa8689654ece"/>
    <xsd:import namespace="b995caa8-c599-465c-85e6-d061a0aa3d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bbdfe-e28d-4400-a787-fa8689654e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3e165e1e-8df5-4a15-b652-d937b5ab2d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5caa8-c599-465c-85e6-d061a0aa3d2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0efd461-0863-4a5d-8e34-26da13f49d40}" ma:internalName="TaxCatchAll" ma:showField="CatchAllData" ma:web="b995caa8-c599-465c-85e6-d061a0aa3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AE2071-9CB4-4DF9-B030-9AAC81DD1B1E}">
  <ds:schemaRefs>
    <ds:schemaRef ds:uri="http://schemas.microsoft.com/office/2006/metadata/properties"/>
    <ds:schemaRef ds:uri="http://schemas.microsoft.com/office/infopath/2007/PartnerControls"/>
    <ds:schemaRef ds:uri="b9bbbdfe-e28d-4400-a787-fa8689654ece"/>
    <ds:schemaRef ds:uri="b995caa8-c599-465c-85e6-d061a0aa3d29"/>
  </ds:schemaRefs>
</ds:datastoreItem>
</file>

<file path=customXml/itemProps2.xml><?xml version="1.0" encoding="utf-8"?>
<ds:datastoreItem xmlns:ds="http://schemas.openxmlformats.org/officeDocument/2006/customXml" ds:itemID="{A675D0C0-AED9-40FD-82AA-0B06CEFCAC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bbbdfe-e28d-4400-a787-fa8689654ece"/>
    <ds:schemaRef ds:uri="b995caa8-c599-465c-85e6-d061a0aa3d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663A62-50E2-4CD6-87E0-D7A5947C72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 - États des résultats</vt:lpstr>
      <vt:lpstr>'A - États des résultats'!Impression_des_titres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Sarah-Maude Larose</dc:creator>
  <cp:lastModifiedBy>Dulude, Émilie</cp:lastModifiedBy>
  <cp:lastPrinted>2025-11-27T16:57:44Z</cp:lastPrinted>
  <dcterms:created xsi:type="dcterms:W3CDTF">2025-11-24T22:21:48Z</dcterms:created>
  <dcterms:modified xsi:type="dcterms:W3CDTF">2026-02-10T21:13:26Z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0x0101001235C37FF0B7BF40A469807B3557D740</vt:lpwstr>
  </property>
  <property fmtid="{D5CDD505-2E9C-101B-9397-08002B2CF9AE}" pid="3" name="MediaServiceImageTags">
    <vt:lpwstr/>
  </property>
</Properties>
</file>