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fileSharing readOnlyRecommended="1" userName="Noël, Mélanie" algorithmName="SHA-512" hashValue="WPpoXDP98aQBw+gVSsgsRQxiqwQL9jY4hQ4x9qUMHz5u+m1RarubuwNKlHLPwM9JywztQrVfd6z9SKxIqyVM4Q==" saltValue="tKuUe3jtDxoGpB6rRzWzag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s Documents\005-Agronomie, recherche, développement et formation\Développement\Tomate\Projet Forest Lavoie\Rappot final\"/>
    </mc:Choice>
  </mc:AlternateContent>
  <xr:revisionPtr revIDLastSave="0" documentId="14_{E1D5DE11-F8FC-4070-A457-DA8E7E3DC684}" xr6:coauthVersionLast="47" xr6:coauthVersionMax="47" xr10:uidLastSave="{00000000-0000-0000-0000-000000000000}"/>
  <bookViews>
    <workbookView xWindow="28680" yWindow="4980" windowWidth="29040" windowHeight="15720" tabRatio="747" xr2:uid="{5A9B93CA-BC8D-4543-B691-BD39C9547AE5}"/>
  </bookViews>
  <sheets>
    <sheet name="A - États des résultat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0" localSheetId="0">#REF!</definedName>
    <definedName name="\0">'[1]Données oeufs'!#REF!</definedName>
    <definedName name="\d" localSheetId="0">#REF!</definedName>
    <definedName name="\d">'[1]Données oeufs'!#REF!</definedName>
    <definedName name="\g" localSheetId="0">#REF!</definedName>
    <definedName name="\g">'[1]Données oeufs'!#REF!</definedName>
    <definedName name="\m" localSheetId="0">#REF!</definedName>
    <definedName name="\m">'[1]Données oeufs'!#REF!</definedName>
    <definedName name="\p" localSheetId="0">#REF!</definedName>
    <definedName name="\p">'[1]Données oeufs'!#REF!</definedName>
    <definedName name="\x" localSheetId="0">#REF!</definedName>
    <definedName name="\x">'[1]Données oeufs'!#REF!</definedName>
    <definedName name="__bd1" localSheetId="0">Scheduled_Payment+Extra_Payment</definedName>
    <definedName name="__bd1">Scheduled_Payment+Extra_Payment</definedName>
    <definedName name="_bd1" localSheetId="0">Scheduled_Payment+Extra_Payment</definedName>
    <definedName name="_bd1">Scheduled_Payment+Extra_Payment</definedName>
    <definedName name="_Fill" localSheetId="0" hidden="1">#REF!</definedName>
    <definedName name="_Fill" hidden="1">[2]CR!#REF!</definedName>
    <definedName name="allo">#N/A</definedName>
    <definedName name="Anniversaire" localSheetId="0">#REF!,#REF!,#REF!,#REF!</definedName>
    <definedName name="Anniversaire">#REF!,#REF!,#REF!,#REF!</definedName>
    <definedName name="bd" localSheetId="0">Scheduled_Payment+Extra_Payment</definedName>
    <definedName name="bd">Scheduled_Payment+Extra_Payment</definedName>
    <definedName name="bd_1">#NAME?+#NAME?</definedName>
    <definedName name="Beg_Bal" localSheetId="0">#REF!</definedName>
    <definedName name="Beg_Bal">#REF!</definedName>
    <definedName name="Beg_Bal_1" localSheetId="0">#REF!</definedName>
    <definedName name="Beg_Bal_1">#REF!</definedName>
    <definedName name="Benchmark" localSheetId="0">#REF!</definedName>
    <definedName name="Benchmark">#REF!</definedName>
    <definedName name="Benchmark_1" localSheetId="0">#REF!</definedName>
    <definedName name="Benchmark_1">#REF!</definedName>
    <definedName name="BLOC1" localSheetId="0">#REF!</definedName>
    <definedName name="BLOC1">[3]cri!$E$1</definedName>
    <definedName name="BLOC1_1" localSheetId="0">#REF!</definedName>
    <definedName name="BLOC1_1">[3]cri!$E$1</definedName>
    <definedName name="CAP1E" localSheetId="0">#REF!</definedName>
    <definedName name="CAP1E">#REF!</definedName>
    <definedName name="CapitFIXE" localSheetId="0">#REF!</definedName>
    <definedName name="CapitFIXE">#REF!</definedName>
    <definedName name="cash" localSheetId="0">INDEX(#REF!,Fiche)</definedName>
    <definedName name="cash">INDEX([4]!Employés[Nom de l’employé],Fiche)</definedName>
    <definedName name="Changement_de_taux" localSheetId="0">#REF!</definedName>
    <definedName name="Changement_de_taux">#REF!</definedName>
    <definedName name="choix1" localSheetId="0">#REF!</definedName>
    <definedName name="choix1">#REF!</definedName>
    <definedName name="choix2" localSheetId="0">#REF!</definedName>
    <definedName name="choix2">#REF!</definedName>
    <definedName name="Copie" localSheetId="0">Scheduled_Payment+Extra_Payment</definedName>
    <definedName name="Copie">Scheduled_Payment+Extra_Payment</definedName>
    <definedName name="Cout_Total" localSheetId="0">#REF!</definedName>
    <definedName name="Cout_Total">#REF!</definedName>
    <definedName name="Data" localSheetId="0">#REF!</definedName>
    <definedName name="Data">#REF!</definedName>
    <definedName name="Data_1" localSheetId="0">#REF!</definedName>
    <definedName name="Data_1">#REF!</definedName>
    <definedName name="DATDB" localSheetId="0">#REF!</definedName>
    <definedName name="DATDB">#REF!</definedName>
    <definedName name="date_rapport" localSheetId="0">#REF!</definedName>
    <definedName name="date_rapport">#REF!</definedName>
    <definedName name="DebAmort" localSheetId="0">#REF!</definedName>
    <definedName name="DebAmort">#REF!</definedName>
    <definedName name="Différé" localSheetId="0">#REF!</definedName>
    <definedName name="Différé">#REF!</definedName>
    <definedName name="DiffSimple" localSheetId="0">#REF!</definedName>
    <definedName name="DiffSimple">#REF!</definedName>
    <definedName name="DiffTotal" localSheetId="0">#REF!</definedName>
    <definedName name="DiffTotal">#REF!</definedName>
    <definedName name="EchFIXE" localSheetId="0">#REF!</definedName>
    <definedName name="EchFIXE">#REF!</definedName>
    <definedName name="ECRAN5" localSheetId="0">#REF!</definedName>
    <definedName name="ECRAN5">'[1]Données oeufs'!#REF!</definedName>
    <definedName name="EF_complete" localSheetId="0">#REF!</definedName>
    <definedName name="EF_complete">#REF!</definedName>
    <definedName name="EmpActuels" localSheetId="0">INDEX(#REF!,Fiche)</definedName>
    <definedName name="EmpActuels">INDEX([4]!Employés[Nom de l’employé],Fiche)</definedName>
    <definedName name="End_Bal" localSheetId="0">#REF!</definedName>
    <definedName name="End_Bal">#REF!</definedName>
    <definedName name="End_Bal_1" localSheetId="0">#REF!</definedName>
    <definedName name="End_Bal_1">#REF!</definedName>
    <definedName name="ENTRER" localSheetId="0">#REF!</definedName>
    <definedName name="ENTRER">'[1]Données oeufs'!#REF!</definedName>
    <definedName name="Equipements" localSheetId="0">DATE(YEAR('A - États des résultats'!Loan_Start),MONTH('A - États des résultats'!Loan_Start)+Payment_Number,DAY('A - États des résultats'!Loan_Start))</definedName>
    <definedName name="Equipements">DATE(YEAR(Loan_Start),MONTH(Loan_Start)+Payment_Number,DAY(Loan_Start))</definedName>
    <definedName name="Équipements" localSheetId="0">DATE(YEAR(#REF!),MONTH(#REF!)+Payment_Number,DAY(#REF!))</definedName>
    <definedName name="Équipements">DATE(YEAR([5]!Loan_Start),MONTH([5]!Loan_Start)+Payment_Number,DAY([5]!Loan_Start))</definedName>
    <definedName name="Equipements_1">NA()</definedName>
    <definedName name="exemple" localSheetId="0">Scheduled_Payment+Extra_Payment</definedName>
    <definedName name="exemple">Scheduled_Payment+Extra_Payment</definedName>
    <definedName name="Extra_Pay" localSheetId="0">#REF!</definedName>
    <definedName name="Extra_Pay">#REF!</definedName>
    <definedName name="Extra_Pay_1" localSheetId="0">#REF!</definedName>
    <definedName name="Extra_Pay_1">#REF!</definedName>
    <definedName name="fds" localSheetId="0">IF('A - États des résultats'!Loan_Amount*'A - États des résultats'!Interest_Rate*'A - États des résultats'!Loan_Years*'A - États des résultats'!Loan_Start&gt;0,1,0)</definedName>
    <definedName name="fds">IF(Loan_Amount*Interest_Rate*Loan_Years*Loan_Start&gt;0,1,0)</definedName>
    <definedName name="fds_1" localSheetId="0">IF('A - États des résultats'!Loan_Amount_1*'A - États des résultats'!Interest_Rate_1*'A - États des résultats'!Loan_Years_1*'A - États des résultats'!Loan_Start_1&gt;0,1,0)</definedName>
    <definedName name="fds_1">IF(Loan_Amount_1*Interest_Rate_1*Loan_Years_1*Loan_Start_1&gt;0,1,0)</definedName>
    <definedName name="Ferme_Bessette_1916_SENC" localSheetId="0">#REF!,#REF!,#REF!,#REF!,#REF!,#REF!,#REF!,#REF!,#REF! Etat</definedName>
    <definedName name="Ferme_Bessette_1916_SENC">[6]Etats_des_Resultats!$D:$F,[6]Etats_des_Resultats!$AG:$AI,[6]Etats_des_Resultats!$BJ:$BL,[6]Etats_des_Resultats!$CM:$CO,[6]Etats_des_Resultats!$DP:$DR,[6]Etats_des_Resultats!$GH:$GJ,[6]Etats_des_Resultats!$HK:$HM,[6]Etats_des_Resultats!$IN:$IP,[6]Etats_des_Resultats!$JQ:$JS Etat</definedName>
    <definedName name="Fiche">INT((ROW()-2)/12)+1</definedName>
    <definedName name="fill" localSheetId="0" hidden="1">#REF!</definedName>
    <definedName name="fill" hidden="1">'[7]FEV 07'!$AN$77</definedName>
    <definedName name="fofo" localSheetId="0">Scheduled_Payment+Extra_Payment</definedName>
    <definedName name="fofo">Scheduled_Payment+Extra_Payment</definedName>
    <definedName name="FraisF" localSheetId="0">#REF!</definedName>
    <definedName name="FraisF">#REF!</definedName>
    <definedName name="FraisV" localSheetId="0">#REF!</definedName>
    <definedName name="FraisV">#REF!</definedName>
    <definedName name="Full_Print" localSheetId="0">#REF!</definedName>
    <definedName name="Full_Print">#REF!</definedName>
    <definedName name="Full_Print_1" localSheetId="0">#REF!</definedName>
    <definedName name="Full_Print_1">#REF!</definedName>
    <definedName name="g" localSheetId="0">Scheduled_Payment+Extra_Payment</definedName>
    <definedName name="g">Scheduled_Payment+Extra_Payment</definedName>
    <definedName name="Graph14" localSheetId="0">#REF!</definedName>
    <definedName name="Graph14">#REF!</definedName>
    <definedName name="graph3" localSheetId="0">#REF!</definedName>
    <definedName name="graph3">#REF!</definedName>
    <definedName name="Graph4" localSheetId="0">#REF!</definedName>
    <definedName name="Graph4">#REF!</definedName>
    <definedName name="graph5" localSheetId="0">#REF!</definedName>
    <definedName name="graph5">#REF!</definedName>
    <definedName name="graph7" localSheetId="0">#REF!</definedName>
    <definedName name="graph7">#REF!</definedName>
    <definedName name="graph8" localSheetId="0">#REF!</definedName>
    <definedName name="graph8">#REF!</definedName>
    <definedName name="graph9" localSheetId="0">#REF!</definedName>
    <definedName name="graph9">#REF!</definedName>
    <definedName name="h" localSheetId="0">#REF!</definedName>
    <definedName name="h">#REF!</definedName>
    <definedName name="Header_Row">ROW(#REF!)</definedName>
    <definedName name="Header_Row_1">ROW(#REF!)</definedName>
    <definedName name="Ijour" localSheetId="0">#REF!</definedName>
    <definedName name="Ijour">#REF!</definedName>
    <definedName name="Imois" localSheetId="0">#REF!</definedName>
    <definedName name="Imois">#REF!</definedName>
    <definedName name="IMPRESSION" localSheetId="0">#REF!</definedName>
    <definedName name="IMPRESSION">'[1]Données oeufs'!#REF!</definedName>
    <definedName name="_xlnm.Print_Titles" localSheetId="0">'A - États des résultats'!$C:$C</definedName>
    <definedName name="IMPRIME" localSheetId="0">#REF!</definedName>
    <definedName name="IMPRIME">'[1]Données oeufs'!#REF!</definedName>
    <definedName name="Int" localSheetId="0">#REF!</definedName>
    <definedName name="Int">#REF!</definedName>
    <definedName name="Int_1" localSheetId="0">#REF!</definedName>
    <definedName name="Int_1">#REF!</definedName>
    <definedName name="INT1E" localSheetId="0">#REF!</definedName>
    <definedName name="INT1E">#REF!</definedName>
    <definedName name="Interest_Rate" localSheetId="0">#REF!</definedName>
    <definedName name="Interest_Rate">#REF!</definedName>
    <definedName name="Interest_Rate_1" localSheetId="0">#REF!</definedName>
    <definedName name="Interest_Rate_1">#REF!</definedName>
    <definedName name="j" localSheetId="0">Scheduled_Payment+Extra_Payment</definedName>
    <definedName name="j">Scheduled_Payment+Extra_Payment</definedName>
    <definedName name="Jour1" localSheetId="0">#REF!</definedName>
    <definedName name="Jour1">#REF!</definedName>
    <definedName name="Jour2" localSheetId="0">#REF!</definedName>
    <definedName name="Jour2">#REF!</definedName>
    <definedName name="lait" localSheetId="0">DATE(YEAR('A - États des résultats'!Loan_Start),MONTH('A - États des résultats'!Loan_Start)+Payment_Number,DAY('A - États des résultats'!Loan_Start))</definedName>
    <definedName name="lait">DATE(YEAR(Loan_Start),MONTH(Loan_Start)+Payment_Number,DAY(Loan_Start))</definedName>
    <definedName name="lait_1" localSheetId="0">DATE(YEAR('A - États des résultats'!Loan_Start_1),MONTH('A - États des résultats'!Loan_Start_1)+#NAME?,DAY('A - États des résultats'!Loan_Start_1))</definedName>
    <definedName name="lait_1">DATE(YEAR(Loan_Start_1),MONTH(Loan_Start_1)+#NAME?,DAY(Loan_Start_1))</definedName>
    <definedName name="LaPage" localSheetId="0">#REF!</definedName>
    <definedName name="LaPage">[8]stubs_template!$B$1:$N$48</definedName>
    <definedName name="Last_Row" localSheetId="0">IF('A - États des résultats'!Values_Entered,#REF!+'A - États des résultats'!Number_of_Payments,#REF!)</definedName>
    <definedName name="Last_Row">IF(Values_Entered,Header_Row+Number_of_Payments,Header_Row)</definedName>
    <definedName name="Last_Row_1" localSheetId="0">IF('A - États des résultats'!Values_Entered_1,#REF!+'A - États des résultats'!Number_of_Payments_1,#REF!)</definedName>
    <definedName name="Last_Row_1">IF(Values_Entered_1,Header_Row_1+Number_of_Payments_1,Header_Row_1)</definedName>
    <definedName name="LIGNEMAT" localSheetId="0">#REF!</definedName>
    <definedName name="LIGNEMAT">#REF!</definedName>
    <definedName name="Loan_Amount" localSheetId="0">#REF!</definedName>
    <definedName name="Loan_Amount">#REF!</definedName>
    <definedName name="Loan_Amount_1" localSheetId="0">#REF!</definedName>
    <definedName name="Loan_Amount_1">#REF!</definedName>
    <definedName name="Loan_Start" localSheetId="0">#REF!</definedName>
    <definedName name="Loan_Start">#REF!</definedName>
    <definedName name="Loan_Start_1" localSheetId="0">#REF!</definedName>
    <definedName name="Loan_Start_1">#REF!</definedName>
    <definedName name="Loan_Years" localSheetId="0">#REF!</definedName>
    <definedName name="Loan_Years">#REF!</definedName>
    <definedName name="Loan_Years_1" localSheetId="0">#REF!</definedName>
    <definedName name="Loan_Years_1">#REF!</definedName>
    <definedName name="m" localSheetId="0">Scheduled_Payment+Extra_Payment</definedName>
    <definedName name="m">Scheduled_Payment+Extra_Payment</definedName>
    <definedName name="m_1" localSheetId="0">#NAME?+Extra_Payment</definedName>
    <definedName name="m_1">#NAME?+Extra_Payment</definedName>
    <definedName name="MoisD" localSheetId="0">#REF!</definedName>
    <definedName name="MoisD">#REF!</definedName>
    <definedName name="MtEch" localSheetId="0">#REF!</definedName>
    <definedName name="MtEch">#REF!</definedName>
    <definedName name="MtEmprunt" localSheetId="0">#REF!</definedName>
    <definedName name="MtEmprunt">#REF!</definedName>
    <definedName name="n" localSheetId="0">Scheduled_Payment+Extra_Payment</definedName>
    <definedName name="n">Scheduled_Payment+Extra_Payment</definedName>
    <definedName name="n_1" localSheetId="0">#NAME?+Extra_Payment</definedName>
    <definedName name="n_1">#NAME?+Extra_Payment</definedName>
    <definedName name="NAT">#N/A</definedName>
    <definedName name="NbDeci" localSheetId="0">#REF!</definedName>
    <definedName name="NbDeci">#REF!</definedName>
    <definedName name="NbEch" localSheetId="0">#REF!</definedName>
    <definedName name="NbEch">#REF!</definedName>
    <definedName name="NbEchAn" localSheetId="0">#REF!</definedName>
    <definedName name="NbEchAn">#REF!</definedName>
    <definedName name="Nettoyage" localSheetId="0">#REF!</definedName>
    <definedName name="Nettoyage">#REF!</definedName>
    <definedName name="NoEchMaxi" localSheetId="0">#REF!</definedName>
    <definedName name="NoEchMaxi">#REF!</definedName>
    <definedName name="NoEchRemb" localSheetId="0">#REF!</definedName>
    <definedName name="NoEchRemb">#REF!</definedName>
    <definedName name="nom" localSheetId="0">#REF!</definedName>
    <definedName name="nom">#REF!</definedName>
    <definedName name="nom_compagnie" localSheetId="0">#REF!</definedName>
    <definedName name="nom_compagnie">#REF!</definedName>
    <definedName name="Nombre_échéances" localSheetId="0">#REF!</definedName>
    <definedName name="Nombre_échéances">#REF!</definedName>
    <definedName name="Nombre_Iteration" localSheetId="0">#REF!</definedName>
    <definedName name="Nombre_Iteration">#REF!</definedName>
    <definedName name="Num_Pmt_Per_Year" localSheetId="0">#REF!</definedName>
    <definedName name="Num_Pmt_Per_Year">#REF!</definedName>
    <definedName name="Num_Pmt_Per_Year_1" localSheetId="0">#REF!</definedName>
    <definedName name="Num_Pmt_Per_Year_1">#REF!</definedName>
    <definedName name="Number_of_Payments" localSheetId="0">MATCH(0.01,'A - États des résultats'!End_Bal,-1)+1</definedName>
    <definedName name="Number_of_Payments">MATCH(0.01,End_Bal,-1)+1</definedName>
    <definedName name="Number_of_Payments_1" localSheetId="0">MATCH(0.01,'A - États des résultats'!End_Bal_1,-1)+1</definedName>
    <definedName name="Number_of_Payments_1">MATCH(0.01,End_Bal_1,-1)+1</definedName>
    <definedName name="OK">#N/A</definedName>
    <definedName name="P01C" localSheetId="0">#REF!</definedName>
    <definedName name="P01C">#REF!</definedName>
    <definedName name="P01R" localSheetId="0">#REF!</definedName>
    <definedName name="P01R">#REF!</definedName>
    <definedName name="P02C" localSheetId="0">#REF!</definedName>
    <definedName name="P02C">#REF!</definedName>
    <definedName name="P02R" localSheetId="0">#REF!</definedName>
    <definedName name="P02R">#REF!</definedName>
    <definedName name="P04C" localSheetId="0">#REF!</definedName>
    <definedName name="P04C">#REF!</definedName>
    <definedName name="P04R" localSheetId="0">#REF!</definedName>
    <definedName name="P04R">#REF!</definedName>
    <definedName name="P05C" localSheetId="0">#REF!</definedName>
    <definedName name="P05C">#REF!</definedName>
    <definedName name="P05R" localSheetId="0">#REF!</definedName>
    <definedName name="P05R">#REF!</definedName>
    <definedName name="P06C" localSheetId="0">#REF!</definedName>
    <definedName name="P06C">#REF!</definedName>
    <definedName name="P06R" localSheetId="0">#REF!</definedName>
    <definedName name="P06R">#REF!</definedName>
    <definedName name="PAY" localSheetId="0">DATE(YEAR('A - États des résultats'!Loan_Start),MONTH('A - États des résultats'!Loan_Start)+Payment_Number,DAY('A - États des résultats'!Loan_Start))</definedName>
    <definedName name="PAY">DATE(YEAR(Loan_Start),MONTH(Loan_Start)+Payment_Number,DAY(Loan_Start))</definedName>
    <definedName name="PAY_1" localSheetId="0">DATE(YEAR('A - États des résultats'!Loan_Start_1),MONTH('A - États des résultats'!Loan_Start_1)+#NAME?,DAY('A - États des résultats'!Loan_Start_1))</definedName>
    <definedName name="PAY_1">DATE(YEAR(Loan_Start_1),MONTH(Loan_Start_1)+#NAME?,DAY(Loan_Start_1))</definedName>
    <definedName name="Pay_Date" localSheetId="0">#REF!</definedName>
    <definedName name="Pay_Date">#REF!</definedName>
    <definedName name="Pay_Date_1" localSheetId="0">#REF!</definedName>
    <definedName name="Pay_Date_1">#REF!</definedName>
    <definedName name="Pay_Num" localSheetId="0">#REF!</definedName>
    <definedName name="Pay_Num">#REF!</definedName>
    <definedName name="Pay_Num_1" localSheetId="0">#REF!</definedName>
    <definedName name="Pay_Num_1">#REF!</definedName>
    <definedName name="Payment_Date" localSheetId="0">DATE(YEAR('A - États des résultats'!Loan_Start),MONTH('A - États des résultats'!Loan_Start)+Payment_Number,DAY('A - États des résultats'!Loan_Start))</definedName>
    <definedName name="Payment_Date">DATE(YEAR(Loan_Start),MONTH(Loan_Start)+Payment_Number,DAY(Loan_Start))</definedName>
    <definedName name="Payment_Date_1" localSheetId="0">DATE(YEAR('A - États des résultats'!Loan_Start_1),MONTH('A - États des résultats'!Loan_Start_1)+#NAME?,DAY('A - États des résultats'!Loan_Start_1))</definedName>
    <definedName name="Payment_Date_1">DATE(YEAR(Loan_Start_1),MONTH(Loan_Start_1)+#NAME?,DAY(Loan_Start_1))</definedName>
    <definedName name="Periodicite" localSheetId="0">#REF!</definedName>
    <definedName name="Periodicite">#REF!</definedName>
    <definedName name="Porcs" localSheetId="0">#REF!</definedName>
    <definedName name="Porcs">[9]Porc!$M$8:$W$15</definedName>
    <definedName name="Porcs_1" localSheetId="0">#REF!</definedName>
    <definedName name="Porcs_1">[10]Porc!$M$8:$W$15</definedName>
    <definedName name="prenom" localSheetId="0">#REF!</definedName>
    <definedName name="prenom">#REF!</definedName>
    <definedName name="Princ" localSheetId="0">#REF!</definedName>
    <definedName name="Princ">#REF!</definedName>
    <definedName name="Princ_1" localSheetId="0">#REF!</definedName>
    <definedName name="Princ_1">#REF!</definedName>
    <definedName name="PRINCIPAL" localSheetId="0">#REF!</definedName>
    <definedName name="PRINCIPAL">'[1]Données oeufs'!#REF!</definedName>
    <definedName name="Print_Area_Reset" localSheetId="0">OFFSET('A - États des résultats'!Full_Print,0,0,'A - États des résultats'!Last_Row)</definedName>
    <definedName name="Print_Area_Reset">OFFSET(Full_Print,0,0,Last_Row)</definedName>
    <definedName name="Print_Area_Reset_1" localSheetId="0">OFFSET('A - États des résultats'!Full_Print_1,0,0,'A - États des résultats'!Last_Row_1)</definedName>
    <definedName name="Print_Area_Reset_1">OFFSET(Full_Print_1,0,0,Last_Row_1)</definedName>
    <definedName name="QUITTER" localSheetId="0">#REF!</definedName>
    <definedName name="QUITTER">'[1]Données oeufs'!#REF!</definedName>
    <definedName name="RECUPERATION" localSheetId="0">#REF!</definedName>
    <definedName name="RECUPERATION">'[1]Données oeufs'!#REF!</definedName>
    <definedName name="Resize" localSheetId="0">#REF!</definedName>
    <definedName name="Resize">'[11]Analyse _de_sensibilite_VBA'!$E$84</definedName>
    <definedName name="revr" localSheetId="0">IF('A - États des résultats'!Values_Entered,#REF!+'A - États des résultats'!Number_of_Payments,#REF!)</definedName>
    <definedName name="revr">IF(Values_Entered,Header_Row+Number_of_Payments,Header_Row)</definedName>
    <definedName name="revr_1" localSheetId="0">IF('A - États des résultats'!Values_Entered_1,#REF!+'A - États des résultats'!Number_of_Payments_1,#REF!)</definedName>
    <definedName name="revr_1">IF(Values_Entered_1,Header_Row_1+Number_of_Payments_1,Header_Row_1)</definedName>
    <definedName name="RVDebit" localSheetId="0">#REF!</definedName>
    <definedName name="RVDebit">#REF!</definedName>
    <definedName name="SAUVEGARDE" localSheetId="0">#REF!</definedName>
    <definedName name="SAUVEGARDE">'[1]Données oeufs'!#REF!</definedName>
    <definedName name="sc" localSheetId="0">Scheduled_Payment+Extra_Payment</definedName>
    <definedName name="sc">Scheduled_Payment+Extra_Payment</definedName>
    <definedName name="sc_1" localSheetId="0">#NAME?+Extra_Payment</definedName>
    <definedName name="sc_1">#NAME?+Extra_Payment</definedName>
    <definedName name="Sched_Pay" localSheetId="0">#REF!</definedName>
    <definedName name="Sched_Pay">#REF!</definedName>
    <definedName name="Sched_Pay_1" localSheetId="0">#REF!</definedName>
    <definedName name="Sched_Pay_1">#REF!</definedName>
    <definedName name="Scheduled_Extra_Payments" localSheetId="0">#REF!</definedName>
    <definedName name="Scheduled_Extra_Payments">#REF!</definedName>
    <definedName name="Scheduled_Extra_Payments_1" localSheetId="0">#REF!</definedName>
    <definedName name="Scheduled_Extra_Payments_1">#REF!</definedName>
    <definedName name="Scheduled_Interest_Rate" localSheetId="0">#REF!</definedName>
    <definedName name="Scheduled_Interest_Rate">#REF!</definedName>
    <definedName name="Scheduled_Interest_Rate_1" localSheetId="0">#REF!</definedName>
    <definedName name="Scheduled_Interest_Rate_1">#REF!</definedName>
    <definedName name="Scheduled_Monthly_Payment" localSheetId="0">#REF!</definedName>
    <definedName name="Scheduled_Monthly_Payment">#REF!</definedName>
    <definedName name="Scheduled_Monthly_Payment_1" localSheetId="0">#REF!</definedName>
    <definedName name="Scheduled_Monthly_Payment_1">#REF!</definedName>
    <definedName name="sept.09">#N/A</definedName>
    <definedName name="Simulation_depart" localSheetId="0">#REF!</definedName>
    <definedName name="Simulation_depart">#REF!</definedName>
    <definedName name="stat" localSheetId="0">Scheduled_Payment+Extra_Payment</definedName>
    <definedName name="stat">Scheduled_Payment+Extra_Payment</definedName>
    <definedName name="StrucFiche" localSheetId="0">#REF!</definedName>
    <definedName name="StrucFiche">[8]stubs_template!$B$37:$N$48</definedName>
    <definedName name="SUITE" localSheetId="0">#REF!</definedName>
    <definedName name="SUITE">'[1]Données oeufs'!#REF!</definedName>
    <definedName name="Surplus_Deficit" localSheetId="0">#REF!</definedName>
    <definedName name="Surplus_Deficit">#REF!</definedName>
    <definedName name="tab_p" localSheetId="0">#REF!</definedName>
    <definedName name="tab_p">[9]Poule!$M$9:$N$16</definedName>
    <definedName name="tab_p_1" localSheetId="0">#REF!</definedName>
    <definedName name="tab_p_1">[10]Poule!$M$9:$N$16</definedName>
    <definedName name="tab_venzi" localSheetId="0">#REF!</definedName>
    <definedName name="tab_venzi">[10]Ventilateurs!$B$3:$J$13</definedName>
    <definedName name="tabnat" localSheetId="0">#REF!</definedName>
    <definedName name="tabnat">[9]V_naturelle!$P$7:$T$23</definedName>
    <definedName name="tabnat_1" localSheetId="0">#REF!</definedName>
    <definedName name="tabnat_1">[10]V_naturelle!$P$7:$T$23</definedName>
    <definedName name="tabrég" localSheetId="0">#REF!</definedName>
    <definedName name="tabrég">[9]V_naturelle!$N$12:$O$15</definedName>
    <definedName name="tabrég_1" localSheetId="0">#REF!</definedName>
    <definedName name="tabrég_1">[10]V_naturelle!$N$12:$O$15</definedName>
    <definedName name="TauxActuariel" localSheetId="0">#REF!</definedName>
    <definedName name="TauxActuariel">#REF!</definedName>
    <definedName name="test" localSheetId="0">#REF!</definedName>
    <definedName name="test">#REF!</definedName>
    <definedName name="test1" localSheetId="0">Scheduled_Payment+Extra_Payment</definedName>
    <definedName name="test1">Scheduled_Payment+Extra_Payment</definedName>
    <definedName name="texte_1" localSheetId="0">#REF!</definedName>
    <definedName name="texte_1">#REF!</definedName>
    <definedName name="texte_2" localSheetId="0">#REF!</definedName>
    <definedName name="texte_2">#REF!</definedName>
    <definedName name="texte_3" localSheetId="0">#REF!</definedName>
    <definedName name="texte_3">#REF!</definedName>
    <definedName name="titre_projet" localSheetId="0">#REF!</definedName>
    <definedName name="titre_projet">#REF!</definedName>
    <definedName name="TMDebut" localSheetId="0">#REF!</definedName>
    <definedName name="TMDebut">#REF!</definedName>
    <definedName name="TMDebut_1" localSheetId="0">#REF!</definedName>
    <definedName name="TMDebut_1">#REF!</definedName>
    <definedName name="TMTitreAn" localSheetId="0">#REF!</definedName>
    <definedName name="TMTitreAn">#REF!</definedName>
    <definedName name="TMTitreAn_1" localSheetId="0">#REF!</definedName>
    <definedName name="TMTitreAn_1">#REF!</definedName>
    <definedName name="TMTitreFR" localSheetId="0">#REF!</definedName>
    <definedName name="TMTitreFR">#REF!</definedName>
    <definedName name="TMTitreFR_1" localSheetId="0">#REF!</definedName>
    <definedName name="TMTitreFR_1">#REF!</definedName>
    <definedName name="total" localSheetId="0">Scheduled_Payment+Extra_Payment</definedName>
    <definedName name="total">Scheduled_Payment+Extra_Payment</definedName>
    <definedName name="total_1" localSheetId="0">Scheduled_Payment+Extra_Payment</definedName>
    <definedName name="total_1">Scheduled_Payment+Extra_Payment</definedName>
    <definedName name="Total_Capital" localSheetId="0">#REF!</definedName>
    <definedName name="Total_Capital">#REF!</definedName>
    <definedName name="Total_Frais" localSheetId="0">#REF!</definedName>
    <definedName name="Total_Frais">#REF!</definedName>
    <definedName name="Total_Interest" localSheetId="0">#REF!</definedName>
    <definedName name="Total_Interest">#REF!</definedName>
    <definedName name="Total_Interest_1" localSheetId="0">#REF!</definedName>
    <definedName name="Total_Interest_1">#REF!</definedName>
    <definedName name="Total_Intérêts" localSheetId="0">#REF!</definedName>
    <definedName name="Total_Intérêts">#REF!</definedName>
    <definedName name="Total_Pay" localSheetId="0">#REF!</definedName>
    <definedName name="Total_Pay">#REF!</definedName>
    <definedName name="Total_Pay_1" localSheetId="0">#REF!</definedName>
    <definedName name="Total_Pay_1">#REF!</definedName>
    <definedName name="Total_Payment" localSheetId="0">Scheduled_Payment+Extra_Payment</definedName>
    <definedName name="Total_Payment">Scheduled_Payment+Extra_Payment</definedName>
    <definedName name="Total_Payment_1" localSheetId="0">Scheduled_Payment+Extra_Payment</definedName>
    <definedName name="Total_Payment_1">Scheduled_Payment+Extra_Payment</definedName>
    <definedName name="TVDebit" localSheetId="0">#REF!</definedName>
    <definedName name="TVDebit">#REF!</definedName>
    <definedName name="TxPer" localSheetId="0">#REF!</definedName>
    <definedName name="TxPer">#REF!</definedName>
    <definedName name="type" localSheetId="0">#REF!</definedName>
    <definedName name="type">[9]V_naturelle!$N$7:$O$10</definedName>
    <definedName name="type_1" localSheetId="0">#REF!</definedName>
    <definedName name="type_1">[10]V_naturelle!$N$7:$O$10</definedName>
    <definedName name="Values_Entered" localSheetId="0">IF('A - États des résultats'!Loan_Amount*'A - États des résultats'!Interest_Rate*'A - États des résultats'!Loan_Years*'A - États des résultats'!Loan_Start&gt;0,1,0)</definedName>
    <definedName name="Values_Entered">IF(Loan_Amount*Interest_Rate*Loan_Years*Loan_Start&gt;0,1,0)</definedName>
    <definedName name="Values_Entered_1" localSheetId="0">IF('A - États des résultats'!Loan_Amount_1*'A - États des résultats'!Interest_Rate_1*'A - États des résultats'!Loan_Years_1*'A - États des résultats'!Loan_Start_1&gt;0,1,0)</definedName>
    <definedName name="Values_Entered_1">IF(Loan_Amount_1*Interest_Rate_1*Loan_Years_1*Loan_Start_1&gt;0,1,0)</definedName>
    <definedName name="vent_tun" localSheetId="0">#REF!</definedName>
    <definedName name="vent_tun">[9]Ventilateurs!$B$14:$B$17</definedName>
    <definedName name="vent_tun_1" localSheetId="0">#REF!</definedName>
    <definedName name="vent_tun_1">[10]Ventilateurs!$B$14:$B$17</definedName>
    <definedName name="vent2" localSheetId="0">#REF!</definedName>
    <definedName name="vent2">[9]Ventilateurs!$B$2:$J$17</definedName>
    <definedName name="vent2_1" localSheetId="0">#REF!</definedName>
    <definedName name="vent2_1">[10]Ventilateurs!$B$2:$J$17</definedName>
    <definedName name="vent5" localSheetId="0">#REF!</definedName>
    <definedName name="vent5">[9]Ventilateurs!$B$14:$J$17</definedName>
    <definedName name="vent5_1" localSheetId="0">#REF!</definedName>
    <definedName name="vent5_1">[10]Ventilateurs!$B$14:$J$17</definedName>
    <definedName name="venti" localSheetId="0">#REF!</definedName>
    <definedName name="venti">[9]Ventilateurs!$B$2:$B$17</definedName>
    <definedName name="venti_1" localSheetId="0">#REF!</definedName>
    <definedName name="venti_1">[10]Ventilateurs!$B$2:$B$17</definedName>
    <definedName name="venzi" localSheetId="0">#REF!</definedName>
    <definedName name="venzi">[10]Ventilateurs!$B$3:$B$13</definedName>
    <definedName name="xxx">#N/A</definedName>
    <definedName name="zcoche" localSheetId="0">#REF!,#REF!</definedName>
    <definedName name="zcoche">#REF!,#REF!</definedName>
    <definedName name="zcoche2" localSheetId="0">#REF!,#REF!</definedName>
    <definedName name="zcoche2">#REF!,#REF!</definedName>
    <definedName name="_xlnm.Print_Area">#REF!</definedName>
    <definedName name="Zone_impres_MI" localSheetId="0">#REF!</definedName>
    <definedName name="Zone_impres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7" i="1" l="1"/>
  <c r="AS13" i="1" s="1"/>
  <c r="AS15" i="1"/>
  <c r="AS31" i="1"/>
  <c r="AS32" i="1"/>
  <c r="AS33" i="1"/>
  <c r="AS34" i="1"/>
  <c r="AS35" i="1"/>
  <c r="AU35" i="1" s="1"/>
  <c r="AS36" i="1"/>
  <c r="AU36" i="1" s="1"/>
  <c r="AS37" i="1"/>
  <c r="AU37" i="1" s="1"/>
  <c r="AS38" i="1"/>
  <c r="AU38" i="1" s="1"/>
  <c r="AS39" i="1"/>
  <c r="AS44" i="1"/>
  <c r="AS45" i="1"/>
  <c r="AS46" i="1" s="1"/>
  <c r="AS22" i="1"/>
  <c r="AS23" i="1"/>
  <c r="AS24" i="1"/>
  <c r="AS25" i="1"/>
  <c r="AU25" i="1" s="1"/>
  <c r="AS26" i="1"/>
  <c r="AU26" i="1" s="1"/>
  <c r="AS28" i="1"/>
  <c r="AS54" i="1"/>
  <c r="AU54" i="1" s="1"/>
  <c r="AS55" i="1"/>
  <c r="AU55" i="1" s="1"/>
  <c r="AS57" i="1"/>
  <c r="AS65" i="1"/>
  <c r="AS66" i="1"/>
  <c r="AS67" i="1"/>
  <c r="AS71" i="1" s="1"/>
  <c r="AS68" i="1"/>
  <c r="AS69" i="1"/>
  <c r="AS75" i="1"/>
  <c r="AS77" i="1" s="1"/>
  <c r="AU31" i="1"/>
  <c r="AU32" i="1"/>
  <c r="AU33" i="1"/>
  <c r="AU44" i="1"/>
  <c r="AU46" i="1" s="1"/>
  <c r="AU45" i="1"/>
  <c r="AU23" i="1"/>
  <c r="AU67" i="1"/>
  <c r="AU68" i="1"/>
  <c r="AU69" i="1"/>
  <c r="AT41" i="1"/>
  <c r="AT46" i="1"/>
  <c r="AT28" i="1"/>
  <c r="AT57" i="1"/>
  <c r="AT71" i="1"/>
  <c r="AT77" i="1"/>
  <c r="AO7" i="1"/>
  <c r="AM13" i="1"/>
  <c r="AM14" i="1"/>
  <c r="AM15" i="1"/>
  <c r="AM31" i="1"/>
  <c r="AM32" i="1"/>
  <c r="AO32" i="1" s="1"/>
  <c r="AM33" i="1"/>
  <c r="AM34" i="1"/>
  <c r="AM35" i="1"/>
  <c r="AM36" i="1"/>
  <c r="AM37" i="1"/>
  <c r="AO37" i="1" s="1"/>
  <c r="AM38" i="1"/>
  <c r="AM39" i="1"/>
  <c r="AM44" i="1"/>
  <c r="AM45" i="1"/>
  <c r="AM22" i="1"/>
  <c r="AM23" i="1"/>
  <c r="AM24" i="1"/>
  <c r="AM25" i="1"/>
  <c r="AM26" i="1"/>
  <c r="AM54" i="1"/>
  <c r="AM55" i="1"/>
  <c r="AM65" i="1"/>
  <c r="AM66" i="1"/>
  <c r="AM67" i="1"/>
  <c r="AM68" i="1"/>
  <c r="AM69" i="1"/>
  <c r="AM75" i="1"/>
  <c r="AM77" i="1" s="1"/>
  <c r="AO35" i="1"/>
  <c r="AO36" i="1"/>
  <c r="AN41" i="1"/>
  <c r="AN46" i="1"/>
  <c r="AN28" i="1"/>
  <c r="AN57" i="1"/>
  <c r="AN71" i="1"/>
  <c r="AN77" i="1"/>
  <c r="AF14" i="1"/>
  <c r="AF15" i="1"/>
  <c r="AF17" i="1"/>
  <c r="AH66" i="1" s="1"/>
  <c r="AF31" i="1"/>
  <c r="AG31" i="1" s="1"/>
  <c r="AF34" i="1"/>
  <c r="AG34" i="1" s="1"/>
  <c r="AF37" i="1"/>
  <c r="AG37" i="1" s="1"/>
  <c r="AF38" i="1"/>
  <c r="AH38" i="1" s="1"/>
  <c r="AF46" i="1"/>
  <c r="AF22" i="1"/>
  <c r="AF28" i="1" s="1"/>
  <c r="AH28" i="1" s="1"/>
  <c r="AF25" i="1"/>
  <c r="AG25" i="1" s="1"/>
  <c r="AF57" i="1"/>
  <c r="AF69" i="1"/>
  <c r="AH69" i="1" s="1"/>
  <c r="AF71" i="1"/>
  <c r="AF75" i="1"/>
  <c r="AG13" i="1"/>
  <c r="AG14" i="1"/>
  <c r="AG15" i="1"/>
  <c r="AG32" i="1"/>
  <c r="AG33" i="1"/>
  <c r="AG35" i="1"/>
  <c r="AG36" i="1"/>
  <c r="AG39" i="1"/>
  <c r="AG44" i="1"/>
  <c r="AG45" i="1"/>
  <c r="AG46" i="1"/>
  <c r="AG22" i="1"/>
  <c r="AG23" i="1"/>
  <c r="AG24" i="1"/>
  <c r="AG26" i="1"/>
  <c r="AG54" i="1"/>
  <c r="AG57" i="1" s="1"/>
  <c r="AG55" i="1"/>
  <c r="AG69" i="1"/>
  <c r="AG71" i="1" s="1"/>
  <c r="AC7" i="1"/>
  <c r="AC54" i="1" s="1"/>
  <c r="AA14" i="1"/>
  <c r="AA15" i="1"/>
  <c r="AC15" i="1" s="1"/>
  <c r="AA31" i="1"/>
  <c r="AA41" i="1" s="1"/>
  <c r="AA32" i="1"/>
  <c r="AC32" i="1" s="1"/>
  <c r="AA33" i="1"/>
  <c r="AA34" i="1"/>
  <c r="AA35" i="1"/>
  <c r="AC35" i="1" s="1"/>
  <c r="AA36" i="1"/>
  <c r="AC36" i="1" s="1"/>
  <c r="AA37" i="1"/>
  <c r="AA38" i="1"/>
  <c r="AA39" i="1"/>
  <c r="AA44" i="1"/>
  <c r="AA45" i="1"/>
  <c r="AC45" i="1" s="1"/>
  <c r="AA22" i="1"/>
  <c r="AA28" i="1" s="1"/>
  <c r="AA23" i="1"/>
  <c r="AA24" i="1"/>
  <c r="AA25" i="1"/>
  <c r="AA26" i="1"/>
  <c r="AA54" i="1"/>
  <c r="AA55" i="1"/>
  <c r="AA65" i="1"/>
  <c r="AA66" i="1"/>
  <c r="AA67" i="1"/>
  <c r="AA68" i="1"/>
  <c r="AA69" i="1"/>
  <c r="AA75" i="1"/>
  <c r="AC75" i="1" s="1"/>
  <c r="AC77" i="1" s="1"/>
  <c r="AA77" i="1"/>
  <c r="AC34" i="1"/>
  <c r="AB41" i="1"/>
  <c r="AB46" i="1"/>
  <c r="AB28" i="1"/>
  <c r="AB57" i="1"/>
  <c r="AB71" i="1"/>
  <c r="AB77" i="1"/>
  <c r="X7" i="1"/>
  <c r="V13" i="1" s="1"/>
  <c r="V14" i="1"/>
  <c r="V15" i="1"/>
  <c r="V31" i="1"/>
  <c r="V32" i="1"/>
  <c r="X32" i="1" s="1"/>
  <c r="V33" i="1"/>
  <c r="X33" i="1" s="1"/>
  <c r="V34" i="1"/>
  <c r="V35" i="1"/>
  <c r="V36" i="1"/>
  <c r="X36" i="1" s="1"/>
  <c r="V37" i="1"/>
  <c r="V38" i="1"/>
  <c r="X38" i="1" s="1"/>
  <c r="V39" i="1"/>
  <c r="X39" i="1" s="1"/>
  <c r="V44" i="1"/>
  <c r="V45" i="1"/>
  <c r="V46" i="1"/>
  <c r="V22" i="1"/>
  <c r="V23" i="1"/>
  <c r="X23" i="1" s="1"/>
  <c r="V24" i="1"/>
  <c r="X24" i="1" s="1"/>
  <c r="V25" i="1"/>
  <c r="X25" i="1" s="1"/>
  <c r="V26" i="1"/>
  <c r="V28" i="1"/>
  <c r="V54" i="1"/>
  <c r="V55" i="1"/>
  <c r="X55" i="1" s="1"/>
  <c r="V57" i="1"/>
  <c r="V65" i="1"/>
  <c r="V66" i="1"/>
  <c r="V67" i="1"/>
  <c r="V68" i="1"/>
  <c r="V69" i="1"/>
  <c r="X69" i="1" s="1"/>
  <c r="V75" i="1"/>
  <c r="X75" i="1" s="1"/>
  <c r="X77" i="1" s="1"/>
  <c r="V77" i="1"/>
  <c r="X37" i="1"/>
  <c r="X54" i="1"/>
  <c r="X68" i="1"/>
  <c r="W41" i="1"/>
  <c r="W46" i="1"/>
  <c r="W28" i="1"/>
  <c r="W48" i="1"/>
  <c r="W59" i="1" s="1"/>
  <c r="W57" i="1"/>
  <c r="W71" i="1"/>
  <c r="W77" i="1"/>
  <c r="S7" i="1"/>
  <c r="Q13" i="1"/>
  <c r="Q14" i="1"/>
  <c r="R15" i="1"/>
  <c r="Q15" i="1" s="1"/>
  <c r="Q17" i="1" s="1"/>
  <c r="T37" i="1" s="1"/>
  <c r="Q31" i="1"/>
  <c r="Q32" i="1"/>
  <c r="T32" i="1" s="1"/>
  <c r="Q33" i="1"/>
  <c r="T33" i="1" s="1"/>
  <c r="Q34" i="1"/>
  <c r="T34" i="1" s="1"/>
  <c r="Q35" i="1"/>
  <c r="S35" i="1" s="1"/>
  <c r="Q36" i="1"/>
  <c r="Q37" i="1"/>
  <c r="S37" i="1" s="1"/>
  <c r="Q38" i="1"/>
  <c r="Q39" i="1"/>
  <c r="S39" i="1" s="1"/>
  <c r="Q44" i="1"/>
  <c r="Q45" i="1"/>
  <c r="Q46" i="1" s="1"/>
  <c r="Q22" i="1"/>
  <c r="Q23" i="1"/>
  <c r="S23" i="1" s="1"/>
  <c r="Q24" i="1"/>
  <c r="S24" i="1" s="1"/>
  <c r="Q25" i="1"/>
  <c r="S25" i="1" s="1"/>
  <c r="Q26" i="1"/>
  <c r="T26" i="1" s="1"/>
  <c r="Q28" i="1"/>
  <c r="T28" i="1" s="1"/>
  <c r="Q54" i="1"/>
  <c r="Q55" i="1"/>
  <c r="Q65" i="1"/>
  <c r="S65" i="1" s="1"/>
  <c r="S71" i="1" s="1"/>
  <c r="Q66" i="1"/>
  <c r="Q67" i="1"/>
  <c r="Q68" i="1"/>
  <c r="Q69" i="1"/>
  <c r="T69" i="1" s="1"/>
  <c r="Q77" i="1"/>
  <c r="T77" i="1" s="1"/>
  <c r="S14" i="1"/>
  <c r="S15" i="1"/>
  <c r="S31" i="1"/>
  <c r="S44" i="1"/>
  <c r="S22" i="1"/>
  <c r="S66" i="1"/>
  <c r="S67" i="1"/>
  <c r="S68" i="1"/>
  <c r="S69" i="1"/>
  <c r="S75" i="1"/>
  <c r="S77" i="1"/>
  <c r="R13" i="1"/>
  <c r="R17" i="1" s="1"/>
  <c r="R41" i="1"/>
  <c r="R46" i="1"/>
  <c r="R28" i="1"/>
  <c r="R48" i="1" s="1"/>
  <c r="R57" i="1"/>
  <c r="R71" i="1"/>
  <c r="R75" i="1"/>
  <c r="R77" i="1"/>
  <c r="N7" i="1"/>
  <c r="N31" i="1" s="1"/>
  <c r="L14" i="1"/>
  <c r="L15" i="1"/>
  <c r="M31" i="1"/>
  <c r="L31" i="1"/>
  <c r="L32" i="1"/>
  <c r="L33" i="1"/>
  <c r="M34" i="1"/>
  <c r="L34" i="1" s="1"/>
  <c r="M35" i="1"/>
  <c r="M36" i="1"/>
  <c r="L36" i="1" s="1"/>
  <c r="M37" i="1"/>
  <c r="L37" i="1" s="1"/>
  <c r="N37" i="1" s="1"/>
  <c r="M38" i="1"/>
  <c r="L38" i="1"/>
  <c r="L39" i="1"/>
  <c r="N39" i="1" s="1"/>
  <c r="L44" i="1"/>
  <c r="L45" i="1"/>
  <c r="N45" i="1" s="1"/>
  <c r="L46" i="1"/>
  <c r="L22" i="1"/>
  <c r="N22" i="1" s="1"/>
  <c r="M23" i="1"/>
  <c r="L23" i="1" s="1"/>
  <c r="N23" i="1" s="1"/>
  <c r="L24" i="1"/>
  <c r="L25" i="1"/>
  <c r="L26" i="1"/>
  <c r="L28" i="1"/>
  <c r="M54" i="1"/>
  <c r="L54" i="1"/>
  <c r="M55" i="1"/>
  <c r="M57" i="1" s="1"/>
  <c r="M65" i="1"/>
  <c r="L65" i="1" s="1"/>
  <c r="L66" i="1"/>
  <c r="L67" i="1"/>
  <c r="L68" i="1"/>
  <c r="L69" i="1"/>
  <c r="L75" i="1"/>
  <c r="L77" i="1"/>
  <c r="N33" i="1"/>
  <c r="M46" i="1"/>
  <c r="M28" i="1"/>
  <c r="M77" i="1"/>
  <c r="H7" i="1"/>
  <c r="G7" i="1" s="1"/>
  <c r="H13" i="1"/>
  <c r="G22" i="1"/>
  <c r="G23" i="1"/>
  <c r="I23" i="1" s="1"/>
  <c r="G25" i="1"/>
  <c r="I25" i="1" s="1"/>
  <c r="H25" i="1"/>
  <c r="H31" i="1"/>
  <c r="G15" i="1"/>
  <c r="I15" i="1" s="1"/>
  <c r="G34" i="1"/>
  <c r="I34" i="1" s="1"/>
  <c r="G36" i="1"/>
  <c r="G37" i="1"/>
  <c r="I37" i="1" s="1"/>
  <c r="G57" i="1"/>
  <c r="G69" i="1"/>
  <c r="G77" i="1"/>
  <c r="I13" i="1"/>
  <c r="I31" i="1"/>
  <c r="I32" i="1"/>
  <c r="I33" i="1"/>
  <c r="I35" i="1"/>
  <c r="I38" i="1"/>
  <c r="I39" i="1"/>
  <c r="I22" i="1"/>
  <c r="I24" i="1"/>
  <c r="I26" i="1"/>
  <c r="I54" i="1"/>
  <c r="I55" i="1"/>
  <c r="I57" i="1"/>
  <c r="I65" i="1"/>
  <c r="I66" i="1"/>
  <c r="I67" i="1"/>
  <c r="I68" i="1"/>
  <c r="I75" i="1"/>
  <c r="I77" i="1" s="1"/>
  <c r="H32" i="1"/>
  <c r="H38" i="1"/>
  <c r="H39" i="1"/>
  <c r="H46" i="1"/>
  <c r="H67" i="1"/>
  <c r="H68" i="1"/>
  <c r="H69" i="1"/>
  <c r="H75" i="1"/>
  <c r="H77" i="1"/>
  <c r="T75" i="1"/>
  <c r="AH67" i="1"/>
  <c r="T46" i="1"/>
  <c r="AH45" i="1"/>
  <c r="T45" i="1"/>
  <c r="T44" i="1"/>
  <c r="T39" i="1"/>
  <c r="T24" i="1"/>
  <c r="AH23" i="1"/>
  <c r="T22" i="1"/>
  <c r="AH17" i="1"/>
  <c r="T13" i="1"/>
  <c r="AN48" i="1" l="1"/>
  <c r="AN59" i="1" s="1"/>
  <c r="N75" i="1"/>
  <c r="N77" i="1" s="1"/>
  <c r="N69" i="1"/>
  <c r="T25" i="1"/>
  <c r="N66" i="1"/>
  <c r="T35" i="1"/>
  <c r="N44" i="1"/>
  <c r="N46" i="1" s="1"/>
  <c r="N15" i="1"/>
  <c r="X57" i="1"/>
  <c r="AH13" i="1"/>
  <c r="AH68" i="1"/>
  <c r="X44" i="1"/>
  <c r="AC31" i="1"/>
  <c r="AC26" i="1"/>
  <c r="AU22" i="1"/>
  <c r="AU28" i="1" s="1"/>
  <c r="T15" i="1"/>
  <c r="AH37" i="1"/>
  <c r="H35" i="1"/>
  <c r="L13" i="1"/>
  <c r="S45" i="1"/>
  <c r="S46" i="1" s="1"/>
  <c r="AH46" i="1"/>
  <c r="AM57" i="1"/>
  <c r="AT48" i="1"/>
  <c r="AT59" i="1" s="1"/>
  <c r="AU39" i="1"/>
  <c r="N25" i="1"/>
  <c r="AG28" i="1"/>
  <c r="AM28" i="1"/>
  <c r="N34" i="1"/>
  <c r="AB48" i="1"/>
  <c r="AB59" i="1" s="1"/>
  <c r="AH25" i="1"/>
  <c r="AH55" i="1"/>
  <c r="N32" i="1"/>
  <c r="R59" i="1"/>
  <c r="X67" i="1"/>
  <c r="AH71" i="1"/>
  <c r="AU66" i="1"/>
  <c r="AU15" i="1"/>
  <c r="AH57" i="1"/>
  <c r="S26" i="1"/>
  <c r="S28" i="1" s="1"/>
  <c r="X66" i="1"/>
  <c r="X71" i="1" s="1"/>
  <c r="X15" i="1"/>
  <c r="AC39" i="1"/>
  <c r="AM46" i="1"/>
  <c r="AU65" i="1"/>
  <c r="AU71" i="1" s="1"/>
  <c r="AH31" i="1"/>
  <c r="H65" i="1"/>
  <c r="I28" i="1"/>
  <c r="Q71" i="1"/>
  <c r="X65" i="1"/>
  <c r="AC38" i="1"/>
  <c r="AG38" i="1"/>
  <c r="AG41" i="1" s="1"/>
  <c r="AG48" i="1" s="1"/>
  <c r="AG59" i="1" s="1"/>
  <c r="AH33" i="1"/>
  <c r="H22" i="1"/>
  <c r="L55" i="1"/>
  <c r="N36" i="1"/>
  <c r="S33" i="1"/>
  <c r="AO14" i="1"/>
  <c r="AO22" i="1"/>
  <c r="AO69" i="1"/>
  <c r="AO15" i="1"/>
  <c r="AO23" i="1"/>
  <c r="AO33" i="1"/>
  <c r="AO34" i="1"/>
  <c r="S32" i="1"/>
  <c r="Q41" i="1"/>
  <c r="AO31" i="1"/>
  <c r="I36" i="1"/>
  <c r="I41" i="1" s="1"/>
  <c r="G41" i="1"/>
  <c r="T31" i="1"/>
  <c r="T17" i="1"/>
  <c r="T67" i="1"/>
  <c r="T65" i="1"/>
  <c r="T14" i="1"/>
  <c r="T66" i="1"/>
  <c r="AA13" i="1"/>
  <c r="AC68" i="1"/>
  <c r="AC14" i="1"/>
  <c r="AC17" i="1" s="1"/>
  <c r="AC22" i="1"/>
  <c r="AC69" i="1"/>
  <c r="AC33" i="1"/>
  <c r="AO45" i="1"/>
  <c r="N38" i="1"/>
  <c r="AO38" i="1"/>
  <c r="X45" i="1"/>
  <c r="X46" i="1" s="1"/>
  <c r="AA48" i="1"/>
  <c r="AF41" i="1"/>
  <c r="AO75" i="1"/>
  <c r="AO77" i="1" s="1"/>
  <c r="AO67" i="1"/>
  <c r="T55" i="1"/>
  <c r="S55" i="1"/>
  <c r="AH75" i="1"/>
  <c r="AG75" i="1"/>
  <c r="AG77" i="1" s="1"/>
  <c r="S54" i="1"/>
  <c r="S57" i="1" s="1"/>
  <c r="T54" i="1"/>
  <c r="AM17" i="1"/>
  <c r="AP57" i="1" s="1"/>
  <c r="AN13" i="1"/>
  <c r="AN17" i="1" s="1"/>
  <c r="AO44" i="1"/>
  <c r="AO46" i="1" s="1"/>
  <c r="AO39" i="1"/>
  <c r="AO55" i="1"/>
  <c r="AM41" i="1"/>
  <c r="N68" i="1"/>
  <c r="M41" i="1"/>
  <c r="M48" i="1" s="1"/>
  <c r="M59" i="1" s="1"/>
  <c r="L35" i="1"/>
  <c r="AC57" i="1"/>
  <c r="AC67" i="1"/>
  <c r="AO54" i="1"/>
  <c r="AU34" i="1"/>
  <c r="AU41" i="1" s="1"/>
  <c r="N14" i="1"/>
  <c r="N26" i="1"/>
  <c r="T71" i="1"/>
  <c r="X26" i="1"/>
  <c r="X31" i="1"/>
  <c r="V41" i="1"/>
  <c r="AC66" i="1"/>
  <c r="AC37" i="1"/>
  <c r="AU57" i="1"/>
  <c r="S17" i="1"/>
  <c r="Y65" i="1"/>
  <c r="N54" i="1"/>
  <c r="N65" i="1"/>
  <c r="S38" i="1"/>
  <c r="T38" i="1"/>
  <c r="AA71" i="1"/>
  <c r="AC65" i="1"/>
  <c r="AO26" i="1"/>
  <c r="H36" i="1"/>
  <c r="R51" i="1"/>
  <c r="R61" i="1" s="1"/>
  <c r="R79" i="1" s="1"/>
  <c r="X14" i="1"/>
  <c r="X17" i="1" s="1"/>
  <c r="AC25" i="1"/>
  <c r="AC55" i="1"/>
  <c r="AH14" i="1"/>
  <c r="AH65" i="1"/>
  <c r="AH26" i="1"/>
  <c r="AH34" i="1"/>
  <c r="AH36" i="1"/>
  <c r="AH24" i="1"/>
  <c r="AH44" i="1"/>
  <c r="AH22" i="1"/>
  <c r="AH39" i="1"/>
  <c r="AH35" i="1"/>
  <c r="AO25" i="1"/>
  <c r="AS41" i="1"/>
  <c r="AA46" i="1"/>
  <c r="AC44" i="1"/>
  <c r="AC46" i="1" s="1"/>
  <c r="T68" i="1"/>
  <c r="W13" i="1"/>
  <c r="W17" i="1" s="1"/>
  <c r="W51" i="1" s="1"/>
  <c r="W61" i="1" s="1"/>
  <c r="W79" i="1" s="1"/>
  <c r="V17" i="1"/>
  <c r="Y67" i="1" s="1"/>
  <c r="AC24" i="1"/>
  <c r="AA57" i="1"/>
  <c r="AG17" i="1"/>
  <c r="AH15" i="1"/>
  <c r="AO24" i="1"/>
  <c r="S34" i="1"/>
  <c r="AO68" i="1"/>
  <c r="AO66" i="1"/>
  <c r="I69" i="1"/>
  <c r="I71" i="1" s="1"/>
  <c r="G71" i="1"/>
  <c r="S36" i="1"/>
  <c r="T36" i="1"/>
  <c r="T23" i="1"/>
  <c r="AH32" i="1"/>
  <c r="AH54" i="1"/>
  <c r="H34" i="1"/>
  <c r="H24" i="1"/>
  <c r="G44" i="1"/>
  <c r="H54" i="1"/>
  <c r="G45" i="1"/>
  <c r="H55" i="1"/>
  <c r="H26" i="1"/>
  <c r="H33" i="1"/>
  <c r="H66" i="1"/>
  <c r="H71" i="1" s="1"/>
  <c r="H37" i="1"/>
  <c r="N24" i="1"/>
  <c r="N28" i="1" s="1"/>
  <c r="L71" i="1"/>
  <c r="Q57" i="1"/>
  <c r="T57" i="1" s="1"/>
  <c r="X22" i="1"/>
  <c r="X34" i="1"/>
  <c r="X35" i="1"/>
  <c r="AC23" i="1"/>
  <c r="AF77" i="1"/>
  <c r="AH77" i="1" s="1"/>
  <c r="AT13" i="1"/>
  <c r="AU75" i="1"/>
  <c r="AU77" i="1" s="1"/>
  <c r="AU24" i="1"/>
  <c r="M71" i="1"/>
  <c r="N67" i="1"/>
  <c r="V71" i="1"/>
  <c r="G28" i="1"/>
  <c r="H23" i="1"/>
  <c r="AO65" i="1"/>
  <c r="AM71" i="1"/>
  <c r="AN51" i="1" l="1"/>
  <c r="AN61" i="1" s="1"/>
  <c r="AN79" i="1" s="1"/>
  <c r="H41" i="1"/>
  <c r="Y31" i="1"/>
  <c r="Y26" i="1"/>
  <c r="M13" i="1"/>
  <c r="M17" i="1" s="1"/>
  <c r="M51" i="1" s="1"/>
  <c r="M61" i="1" s="1"/>
  <c r="M79" i="1" s="1"/>
  <c r="L17" i="1"/>
  <c r="AP71" i="1"/>
  <c r="N55" i="1"/>
  <c r="N57" i="1" s="1"/>
  <c r="AO71" i="1"/>
  <c r="Y46" i="1"/>
  <c r="AP38" i="1"/>
  <c r="Y38" i="1"/>
  <c r="AP28" i="1"/>
  <c r="Y77" i="1"/>
  <c r="Y22" i="1"/>
  <c r="Y32" i="1"/>
  <c r="AP32" i="1"/>
  <c r="N71" i="1"/>
  <c r="AP45" i="1"/>
  <c r="S41" i="1"/>
  <c r="S48" i="1" s="1"/>
  <c r="S51" i="1" s="1"/>
  <c r="S61" i="1" s="1"/>
  <c r="S79" i="1" s="1"/>
  <c r="Y24" i="1"/>
  <c r="X28" i="1"/>
  <c r="AP54" i="1"/>
  <c r="AP13" i="1"/>
  <c r="N17" i="1"/>
  <c r="Y45" i="1"/>
  <c r="Y71" i="1"/>
  <c r="AG51" i="1"/>
  <c r="AG61" i="1" s="1"/>
  <c r="AG79" i="1" s="1"/>
  <c r="AP34" i="1"/>
  <c r="AU48" i="1"/>
  <c r="AP44" i="1"/>
  <c r="AC41" i="1"/>
  <c r="O71" i="1"/>
  <c r="Y14" i="1"/>
  <c r="L57" i="1"/>
  <c r="O57" i="1" s="1"/>
  <c r="AO57" i="1"/>
  <c r="Y68" i="1"/>
  <c r="T41" i="1"/>
  <c r="Q48" i="1"/>
  <c r="H57" i="1"/>
  <c r="AP65" i="1"/>
  <c r="AU59" i="1"/>
  <c r="I45" i="1"/>
  <c r="H28" i="1"/>
  <c r="H14" i="1" s="1"/>
  <c r="AP24" i="1"/>
  <c r="AP23" i="1"/>
  <c r="AP39" i="1"/>
  <c r="AP22" i="1"/>
  <c r="AP75" i="1"/>
  <c r="AP14" i="1"/>
  <c r="AP35" i="1"/>
  <c r="AP25" i="1"/>
  <c r="AP37" i="1"/>
  <c r="AP67" i="1"/>
  <c r="AP31" i="1"/>
  <c r="AP17" i="1"/>
  <c r="AP69" i="1"/>
  <c r="AP15" i="1"/>
  <c r="AP33" i="1"/>
  <c r="AP55" i="1"/>
  <c r="AP77" i="1"/>
  <c r="AO28" i="1"/>
  <c r="AO17" i="1"/>
  <c r="V48" i="1"/>
  <c r="Y41" i="1"/>
  <c r="AC71" i="1"/>
  <c r="AD71" i="1"/>
  <c r="AF48" i="1"/>
  <c r="AH41" i="1"/>
  <c r="AT14" i="1"/>
  <c r="AS14" i="1" s="1"/>
  <c r="AT17" i="1"/>
  <c r="AT51" i="1" s="1"/>
  <c r="AT61" i="1" s="1"/>
  <c r="AT79" i="1" s="1"/>
  <c r="AP66" i="1"/>
  <c r="AA17" i="1"/>
  <c r="AD57" i="1" s="1"/>
  <c r="AB13" i="1"/>
  <c r="AB17" i="1" s="1"/>
  <c r="AB51" i="1" s="1"/>
  <c r="AB61" i="1" s="1"/>
  <c r="AB79" i="1" s="1"/>
  <c r="AD13" i="1"/>
  <c r="Y17" i="1"/>
  <c r="V51" i="1"/>
  <c r="Y55" i="1"/>
  <c r="Y36" i="1"/>
  <c r="Y44" i="1"/>
  <c r="Y37" i="1"/>
  <c r="Y54" i="1"/>
  <c r="Y35" i="1"/>
  <c r="Y66" i="1"/>
  <c r="Y39" i="1"/>
  <c r="Y25" i="1"/>
  <c r="Y34" i="1"/>
  <c r="Y69" i="1"/>
  <c r="Y57" i="1"/>
  <c r="Y28" i="1"/>
  <c r="Y15" i="1"/>
  <c r="Y23" i="1"/>
  <c r="Y33" i="1"/>
  <c r="AM48" i="1"/>
  <c r="AP41" i="1"/>
  <c r="G46" i="1"/>
  <c r="I44" i="1"/>
  <c r="AC28" i="1"/>
  <c r="AA59" i="1"/>
  <c r="AP26" i="1"/>
  <c r="X41" i="1"/>
  <c r="N35" i="1"/>
  <c r="N41" i="1" s="1"/>
  <c r="N48" i="1" s="1"/>
  <c r="O35" i="1"/>
  <c r="L41" i="1"/>
  <c r="AP46" i="1"/>
  <c r="AP68" i="1"/>
  <c r="AS48" i="1"/>
  <c r="Y13" i="1"/>
  <c r="AP36" i="1"/>
  <c r="AO41" i="1"/>
  <c r="AO48" i="1" s="1"/>
  <c r="AO59" i="1" s="1"/>
  <c r="Y75" i="1"/>
  <c r="X48" i="1" l="1"/>
  <c r="AC48" i="1"/>
  <c r="I46" i="1"/>
  <c r="I48" i="1" s="1"/>
  <c r="I59" i="1" s="1"/>
  <c r="S59" i="1"/>
  <c r="N59" i="1"/>
  <c r="O22" i="1"/>
  <c r="O77" i="1"/>
  <c r="O39" i="1"/>
  <c r="O32" i="1"/>
  <c r="O24" i="1"/>
  <c r="O34" i="1"/>
  <c r="O45" i="1"/>
  <c r="O37" i="1"/>
  <c r="O33" i="1"/>
  <c r="O46" i="1"/>
  <c r="O68" i="1"/>
  <c r="O66" i="1"/>
  <c r="O13" i="1"/>
  <c r="O15" i="1"/>
  <c r="O14" i="1"/>
  <c r="O36" i="1"/>
  <c r="O65" i="1"/>
  <c r="O75" i="1"/>
  <c r="O28" i="1"/>
  <c r="O38" i="1"/>
  <c r="O26" i="1"/>
  <c r="O17" i="1"/>
  <c r="O69" i="1"/>
  <c r="O67" i="1"/>
  <c r="O31" i="1"/>
  <c r="O25" i="1"/>
  <c r="O54" i="1"/>
  <c r="O23" i="1"/>
  <c r="O44" i="1"/>
  <c r="O55" i="1"/>
  <c r="AC51" i="1"/>
  <c r="AC61" i="1" s="1"/>
  <c r="AC79" i="1" s="1"/>
  <c r="AC59" i="1"/>
  <c r="O41" i="1"/>
  <c r="L48" i="1"/>
  <c r="G14" i="1"/>
  <c r="H17" i="1"/>
  <c r="H51" i="1" s="1"/>
  <c r="H61" i="1" s="1"/>
  <c r="H79" i="1" s="1"/>
  <c r="AM59" i="1"/>
  <c r="AP59" i="1" s="1"/>
  <c r="AP48" i="1"/>
  <c r="V59" i="1"/>
  <c r="Y59" i="1" s="1"/>
  <c r="Y48" i="1"/>
  <c r="AD59" i="1"/>
  <c r="Q59" i="1"/>
  <c r="T59" i="1" s="1"/>
  <c r="T48" i="1"/>
  <c r="Q51" i="1"/>
  <c r="H48" i="1"/>
  <c r="Y51" i="1"/>
  <c r="V61" i="1"/>
  <c r="AD24" i="1"/>
  <c r="AD38" i="1"/>
  <c r="AD14" i="1"/>
  <c r="AD26" i="1"/>
  <c r="AD34" i="1"/>
  <c r="AD68" i="1"/>
  <c r="AD32" i="1"/>
  <c r="AA51" i="1"/>
  <c r="AD54" i="1"/>
  <c r="AD39" i="1"/>
  <c r="AD41" i="1"/>
  <c r="AD23" i="1"/>
  <c r="AD22" i="1"/>
  <c r="AD75" i="1"/>
  <c r="AD17" i="1"/>
  <c r="AD33" i="1"/>
  <c r="AD35" i="1"/>
  <c r="AD66" i="1"/>
  <c r="AD37" i="1"/>
  <c r="AD28" i="1"/>
  <c r="AD15" i="1"/>
  <c r="AD69" i="1"/>
  <c r="AD55" i="1"/>
  <c r="AD65" i="1"/>
  <c r="AD45" i="1"/>
  <c r="AD25" i="1"/>
  <c r="AD36" i="1"/>
  <c r="AD31" i="1"/>
  <c r="AD77" i="1"/>
  <c r="AD44" i="1"/>
  <c r="AD67" i="1"/>
  <c r="AD46" i="1"/>
  <c r="AO51" i="1"/>
  <c r="AO61" i="1" s="1"/>
  <c r="AO79" i="1" s="1"/>
  <c r="H59" i="1"/>
  <c r="N51" i="1"/>
  <c r="N61" i="1" s="1"/>
  <c r="N79" i="1" s="1"/>
  <c r="AD48" i="1"/>
  <c r="AU14" i="1"/>
  <c r="AU17" i="1" s="1"/>
  <c r="AU51" i="1" s="1"/>
  <c r="AU61" i="1" s="1"/>
  <c r="AU79" i="1" s="1"/>
  <c r="AS17" i="1"/>
  <c r="AV14" i="1" s="1"/>
  <c r="AS59" i="1"/>
  <c r="AV59" i="1" s="1"/>
  <c r="AV48" i="1"/>
  <c r="G48" i="1"/>
  <c r="AH48" i="1"/>
  <c r="AF59" i="1"/>
  <c r="AH59" i="1" s="1"/>
  <c r="AF51" i="1"/>
  <c r="AM51" i="1"/>
  <c r="X59" i="1" l="1"/>
  <c r="X51" i="1"/>
  <c r="X61" i="1" s="1"/>
  <c r="X79" i="1" s="1"/>
  <c r="AD51" i="1"/>
  <c r="AA61" i="1"/>
  <c r="AP51" i="1"/>
  <c r="AM61" i="1"/>
  <c r="I14" i="1"/>
  <c r="I17" i="1" s="1"/>
  <c r="I51" i="1" s="1"/>
  <c r="I61" i="1" s="1"/>
  <c r="I79" i="1" s="1"/>
  <c r="G17" i="1"/>
  <c r="J14" i="1" s="1"/>
  <c r="L59" i="1"/>
  <c r="O59" i="1" s="1"/>
  <c r="O48" i="1"/>
  <c r="L51" i="1"/>
  <c r="AV44" i="1"/>
  <c r="AV68" i="1"/>
  <c r="AV66" i="1"/>
  <c r="AV25" i="1"/>
  <c r="AS51" i="1"/>
  <c r="AV17" i="1"/>
  <c r="AV75" i="1"/>
  <c r="AV45" i="1"/>
  <c r="AV35" i="1"/>
  <c r="AV37" i="1"/>
  <c r="AV15" i="1"/>
  <c r="AV77" i="1"/>
  <c r="AV69" i="1"/>
  <c r="AV67" i="1"/>
  <c r="AV31" i="1"/>
  <c r="AV13" i="1"/>
  <c r="AV36" i="1"/>
  <c r="AV55" i="1"/>
  <c r="AV33" i="1"/>
  <c r="AV23" i="1"/>
  <c r="AV65" i="1"/>
  <c r="AV39" i="1"/>
  <c r="AV26" i="1"/>
  <c r="AV28" i="1"/>
  <c r="AV46" i="1"/>
  <c r="AV38" i="1"/>
  <c r="AV57" i="1"/>
  <c r="AV34" i="1"/>
  <c r="AV24" i="1"/>
  <c r="AV54" i="1"/>
  <c r="AV32" i="1"/>
  <c r="AV71" i="1"/>
  <c r="AV22" i="1"/>
  <c r="AV41" i="1"/>
  <c r="V79" i="1"/>
  <c r="Y79" i="1" s="1"/>
  <c r="Y61" i="1"/>
  <c r="AH51" i="1"/>
  <c r="AF61" i="1"/>
  <c r="T51" i="1"/>
  <c r="Q61" i="1"/>
  <c r="G59" i="1"/>
  <c r="J48" i="1" l="1"/>
  <c r="Q79" i="1"/>
  <c r="T79" i="1" s="1"/>
  <c r="T61" i="1"/>
  <c r="AF79" i="1"/>
  <c r="AH79" i="1" s="1"/>
  <c r="AH61" i="1"/>
  <c r="J59" i="1"/>
  <c r="L61" i="1"/>
  <c r="O51" i="1"/>
  <c r="AM79" i="1"/>
  <c r="AP79" i="1" s="1"/>
  <c r="AP61" i="1"/>
  <c r="AA79" i="1"/>
  <c r="AD79" i="1" s="1"/>
  <c r="AD61" i="1"/>
  <c r="J75" i="1"/>
  <c r="J35" i="1"/>
  <c r="J67" i="1"/>
  <c r="J55" i="1"/>
  <c r="J33" i="1"/>
  <c r="J17" i="1"/>
  <c r="J38" i="1"/>
  <c r="G51" i="1"/>
  <c r="J68" i="1"/>
  <c r="J32" i="1"/>
  <c r="J31" i="1"/>
  <c r="J26" i="1"/>
  <c r="J24" i="1"/>
  <c r="J37" i="1"/>
  <c r="J34" i="1"/>
  <c r="J54" i="1"/>
  <c r="J39" i="1"/>
  <c r="J22" i="1"/>
  <c r="J25" i="1"/>
  <c r="J13" i="1"/>
  <c r="J66" i="1"/>
  <c r="J15" i="1"/>
  <c r="J65" i="1"/>
  <c r="J57" i="1"/>
  <c r="J69" i="1"/>
  <c r="J77" i="1"/>
  <c r="J23" i="1"/>
  <c r="J36" i="1"/>
  <c r="J41" i="1"/>
  <c r="J28" i="1"/>
  <c r="J44" i="1"/>
  <c r="J71" i="1"/>
  <c r="J45" i="1"/>
  <c r="J46" i="1"/>
  <c r="AV51" i="1"/>
  <c r="AS61" i="1"/>
  <c r="L79" i="1" l="1"/>
  <c r="O79" i="1" s="1"/>
  <c r="O61" i="1"/>
  <c r="G61" i="1"/>
  <c r="J51" i="1"/>
  <c r="AV61" i="1"/>
  <c r="AS79" i="1"/>
  <c r="AV79" i="1" s="1"/>
  <c r="G79" i="1" l="1"/>
  <c r="J79" i="1" s="1"/>
  <c r="J61" i="1"/>
</calcChain>
</file>

<file path=xl/sharedStrings.xml><?xml version="1.0" encoding="utf-8"?>
<sst xmlns="http://schemas.openxmlformats.org/spreadsheetml/2006/main" count="118" uniqueCount="73">
  <si>
    <t>Pomme de terre</t>
  </si>
  <si>
    <t>Concombre</t>
  </si>
  <si>
    <t>Pois Régulier</t>
  </si>
  <si>
    <t>Haricots vert régulier</t>
  </si>
  <si>
    <t>Maïs-sucré</t>
  </si>
  <si>
    <t>Grandes cultures - Maïs soya</t>
  </si>
  <si>
    <t>Tomates</t>
  </si>
  <si>
    <t>Propriété de Groupe Vision Gestion Inc</t>
  </si>
  <si>
    <t>Concombre trans. - 2020</t>
  </si>
  <si>
    <t xml:space="preserve">Pois Régulier - 2025 </t>
  </si>
  <si>
    <t>Haricots - 5 ans</t>
  </si>
  <si>
    <t>Maïs-Sucré - 5 ans</t>
  </si>
  <si>
    <t>Grandes cultures - 5 ans</t>
  </si>
  <si>
    <t>Californie - Tomate</t>
  </si>
  <si>
    <t>Québec - tomate</t>
  </si>
  <si>
    <t>Analyse Technico-Économique</t>
  </si>
  <si>
    <t>Rendement vendu qtx/ac</t>
  </si>
  <si>
    <t>Rendement vendu tc/ac</t>
  </si>
  <si>
    <t>Rendement vendu tm/ac</t>
  </si>
  <si>
    <t>Rendement vendu t/ac</t>
  </si>
  <si>
    <t xml:space="preserve"> </t>
  </si>
  <si>
    <t>acres</t>
  </si>
  <si>
    <t>Qtx</t>
  </si>
  <si>
    <t>Tc</t>
  </si>
  <si>
    <t>Tm</t>
  </si>
  <si>
    <t>T courte</t>
  </si>
  <si>
    <t>Montant</t>
  </si>
  <si>
    <t>$/acres</t>
  </si>
  <si>
    <t>$/t</t>
  </si>
  <si>
    <t>%</t>
  </si>
  <si>
    <t>Revenus</t>
  </si>
  <si>
    <t>Revenus de vente - Produits</t>
  </si>
  <si>
    <t>Programme Agri - 4,2% de VNA</t>
  </si>
  <si>
    <t>Autres revenus</t>
  </si>
  <si>
    <t>Total Revenus</t>
  </si>
  <si>
    <t>Coût des ventes</t>
  </si>
  <si>
    <t>Coût d'opérations Direct</t>
  </si>
  <si>
    <t>Semences / Transplantation</t>
  </si>
  <si>
    <t>Fertilisants</t>
  </si>
  <si>
    <t>Pesticides</t>
  </si>
  <si>
    <t>Autres intrants</t>
  </si>
  <si>
    <t xml:space="preserve">Total  </t>
  </si>
  <si>
    <t>Opérations culturales</t>
  </si>
  <si>
    <t>Carburant</t>
  </si>
  <si>
    <t xml:space="preserve">Irrigation </t>
  </si>
  <si>
    <t>Autres travaux au champs</t>
  </si>
  <si>
    <t xml:space="preserve">Entretien de la machinerie </t>
  </si>
  <si>
    <t xml:space="preserve">Entretien des terres </t>
  </si>
  <si>
    <t>Mise en marché</t>
  </si>
  <si>
    <t>Cotisation ASREC</t>
  </si>
  <si>
    <t>Inventaires au début</t>
  </si>
  <si>
    <t>Inventaire à la fin</t>
  </si>
  <si>
    <t>Variations d'inventaire</t>
  </si>
  <si>
    <t>Total du coût des ventes</t>
  </si>
  <si>
    <t>Bénéfice avant salaires et intérêts court terme</t>
  </si>
  <si>
    <t>Dépenses d'opération</t>
  </si>
  <si>
    <t>Intérêt et frais bancaires</t>
  </si>
  <si>
    <t>Main d'œuvre</t>
  </si>
  <si>
    <t>Total des frais variables</t>
  </si>
  <si>
    <t>Bénéfice brut</t>
  </si>
  <si>
    <t>Frais Fixes</t>
  </si>
  <si>
    <t>Taxes</t>
  </si>
  <si>
    <t>Honoraires professionnel</t>
  </si>
  <si>
    <t>Assurances générales</t>
  </si>
  <si>
    <t xml:space="preserve">Électricité </t>
  </si>
  <si>
    <t>Autres</t>
  </si>
  <si>
    <t>Total des frais fixes</t>
  </si>
  <si>
    <t>Autres revenus #1</t>
  </si>
  <si>
    <t>Total des autres revenus</t>
  </si>
  <si>
    <t>BAIIA</t>
  </si>
  <si>
    <t>Superficie cultivée</t>
  </si>
  <si>
    <t>Travaux forfait et locations machi.&amp; terre</t>
  </si>
  <si>
    <t xml:space="preserve">Pomme de terre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</si>
</sst>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$&quot;_);[Red]\(#,##0\ &quot;$&quot;\)"/>
    <numFmt numFmtId="8" formatCode="#,##0.00\ &quot;$&quot;_);[Red]\(#,##0.00\ &quot;$&quot;\)"/>
    <numFmt numFmtId="164" formatCode="0_);[Red]\(0\)"/>
    <numFmt numFmtId="165" formatCode="#,##0.0_);[Red]\(#,##0.0\)"/>
    <numFmt numFmtId="166" formatCode="0.0%"/>
    <numFmt numFmtId="167" formatCode="#,##0.00\ &quot;$&quot;_-;#,##0.00\ &quot;$&quot;\-"/>
    <numFmt numFmtId="168" formatCode="&quot;$&quot;#,##0.00_);[Red]\(&quot;$&quot;#,##0.00\)"/>
    <numFmt numFmtId="169" formatCode="#,##0.0\ &quot;$&quot;_);[Red]\(#,##0.0\ &quot;$&quot;\)"/>
  </numFmts>
  <fonts count="30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cumin Pro Wide"/>
      <family val="2"/>
    </font>
    <font>
      <i/>
      <sz val="10"/>
      <name val="Acumin Pro Wide"/>
      <family val="2"/>
    </font>
    <font>
      <sz val="12"/>
      <color theme="1"/>
      <name val="Calibri"/>
      <family val="2"/>
      <scheme val="minor"/>
    </font>
    <font>
      <b/>
      <i/>
      <sz val="10"/>
      <name val="Acumin Pro Wide"/>
      <family val="2"/>
    </font>
    <font>
      <b/>
      <i/>
      <sz val="9"/>
      <name val="Acumin Pro Wide"/>
      <family val="2"/>
    </font>
    <font>
      <sz val="16"/>
      <name val="Acumin Pro Wide"/>
      <family val="2"/>
    </font>
    <font>
      <i/>
      <sz val="16"/>
      <name val="Acumin Pro Wide"/>
      <family val="2"/>
    </font>
    <font>
      <b/>
      <i/>
      <u/>
      <sz val="16"/>
      <name val="Acumin Pro Wide"/>
      <family val="2"/>
    </font>
    <font>
      <b/>
      <sz val="16"/>
      <name val="Acumin Pro Wide"/>
      <family val="2"/>
    </font>
    <font>
      <b/>
      <i/>
      <sz val="16"/>
      <name val="Acumin Pro Wide"/>
      <family val="2"/>
    </font>
    <font>
      <b/>
      <sz val="18"/>
      <name val="Arial Narrow"/>
      <family val="2"/>
    </font>
    <font>
      <sz val="18"/>
      <name val="Arial Narrow"/>
      <family val="2"/>
    </font>
    <font>
      <b/>
      <i/>
      <sz val="18"/>
      <name val="Arial Narrow"/>
      <family val="2"/>
    </font>
    <font>
      <sz val="20"/>
      <name val="Arial Narrow"/>
      <family val="2"/>
    </font>
    <font>
      <b/>
      <sz val="20"/>
      <name val="Arial Narrow"/>
      <family val="2"/>
    </font>
    <font>
      <b/>
      <i/>
      <sz val="20"/>
      <name val="Arial Narrow"/>
      <family val="2"/>
    </font>
    <font>
      <sz val="22"/>
      <name val="Arial Narrow"/>
      <family val="2"/>
    </font>
    <font>
      <b/>
      <sz val="22"/>
      <name val="Arial Narrow"/>
      <family val="2"/>
    </font>
    <font>
      <i/>
      <sz val="22"/>
      <name val="Arial Narrow"/>
      <family val="2"/>
    </font>
    <font>
      <b/>
      <i/>
      <sz val="22"/>
      <name val="Arial Narrow"/>
      <family val="2"/>
    </font>
    <font>
      <sz val="22"/>
      <color theme="1"/>
      <name val="Arial Narrow"/>
      <family val="2"/>
    </font>
    <font>
      <b/>
      <sz val="22"/>
      <color theme="1"/>
      <name val="Arial Narrow"/>
      <family val="2"/>
    </font>
    <font>
      <u/>
      <sz val="22"/>
      <name val="Arial Narrow"/>
      <family val="2"/>
    </font>
    <font>
      <i/>
      <sz val="22"/>
      <color theme="2"/>
      <name val="Arial Narrow"/>
      <family val="2"/>
    </font>
    <font>
      <sz val="20"/>
      <name val="Acumin Pro Wide"/>
      <family val="2"/>
    </font>
    <font>
      <sz val="22"/>
      <name val="Acumin Pro Wide"/>
      <family val="2"/>
    </font>
    <font>
      <b/>
      <sz val="22"/>
      <name val="Acumin Pro Wide"/>
      <family val="2"/>
    </font>
    <font>
      <b/>
      <i/>
      <sz val="20"/>
      <name val="Acumin Pro Wide"/>
      <family val="2"/>
    </font>
  </fonts>
  <fills count="14">
    <fill>
      <patternFill patternType="none"/>
    </fill>
    <fill>
      <patternFill patternType="gray125"/>
    </fill>
    <fill>
      <patternFill patternType="solid">
        <fgColor rgb="FFE6C9F2"/>
        <bgColor indexed="64"/>
      </patternFill>
    </fill>
    <fill>
      <patternFill patternType="solid">
        <fgColor rgb="FF9EEBBB"/>
        <bgColor indexed="64"/>
      </patternFill>
    </fill>
    <fill>
      <patternFill patternType="solid">
        <fgColor rgb="FFA2EAED"/>
        <bgColor indexed="64"/>
      </patternFill>
    </fill>
    <fill>
      <patternFill patternType="solid">
        <fgColor rgb="FFEB9B9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" fillId="0" borderId="0">
      <alignment vertical="top"/>
    </xf>
    <xf numFmtId="10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535">
    <xf numFmtId="0" fontId="0" fillId="0" borderId="0" xfId="0"/>
    <xf numFmtId="0" fontId="3" fillId="0" borderId="0" xfId="2" applyFont="1" applyAlignment="1">
      <alignment horizontal="left" vertical="center"/>
    </xf>
    <xf numFmtId="0" fontId="2" fillId="0" borderId="0" xfId="2" applyFont="1" applyAlignment="1">
      <alignment horizontal="centerContinuous"/>
    </xf>
    <xf numFmtId="6" fontId="2" fillId="0" borderId="0" xfId="2" applyNumberFormat="1" applyFont="1" applyAlignment="1">
      <alignment horizontal="left" vertical="center"/>
    </xf>
    <xf numFmtId="6" fontId="3" fillId="0" borderId="0" xfId="2" applyNumberFormat="1" applyFont="1" applyAlignment="1">
      <alignment horizontal="left" vertical="center"/>
    </xf>
    <xf numFmtId="6" fontId="3" fillId="0" borderId="5" xfId="2" applyNumberFormat="1" applyFont="1" applyBorder="1" applyAlignment="1">
      <alignment horizontal="left" vertical="center"/>
    </xf>
    <xf numFmtId="6" fontId="5" fillId="0" borderId="0" xfId="2" applyNumberFormat="1" applyFont="1" applyAlignment="1">
      <alignment horizontal="center" vertical="center"/>
    </xf>
    <xf numFmtId="6" fontId="6" fillId="0" borderId="0" xfId="4" applyNumberFormat="1" applyFont="1" applyFill="1" applyBorder="1" applyAlignment="1">
      <alignment horizontal="left" vertical="center"/>
    </xf>
    <xf numFmtId="0" fontId="3" fillId="0" borderId="0" xfId="2" applyFont="1" applyAlignment="1">
      <alignment horizontal="centerContinuous"/>
    </xf>
    <xf numFmtId="6" fontId="3" fillId="0" borderId="0" xfId="2" applyNumberFormat="1" applyFont="1" applyAlignment="1">
      <alignment horizontal="center" vertical="center"/>
    </xf>
    <xf numFmtId="6" fontId="2" fillId="0" borderId="14" xfId="2" applyNumberFormat="1" applyFont="1" applyBorder="1" applyAlignment="1">
      <alignment horizontal="left" vertical="center"/>
    </xf>
    <xf numFmtId="6" fontId="2" fillId="0" borderId="7" xfId="2" applyNumberFormat="1" applyFont="1" applyBorder="1" applyAlignment="1">
      <alignment horizontal="left" vertical="center"/>
    </xf>
    <xf numFmtId="6" fontId="3" fillId="0" borderId="7" xfId="2" applyNumberFormat="1" applyFont="1" applyBorder="1" applyAlignment="1">
      <alignment horizontal="center" vertical="center"/>
    </xf>
    <xf numFmtId="6" fontId="2" fillId="2" borderId="7" xfId="4" applyNumberFormat="1" applyFont="1" applyFill="1" applyBorder="1" applyAlignment="1">
      <alignment horizontal="center" vertical="center"/>
    </xf>
    <xf numFmtId="6" fontId="3" fillId="2" borderId="7" xfId="2" applyNumberFormat="1" applyFont="1" applyFill="1" applyBorder="1" applyAlignment="1">
      <alignment horizontal="center" vertical="center"/>
    </xf>
    <xf numFmtId="169" fontId="3" fillId="2" borderId="7" xfId="2" applyNumberFormat="1" applyFont="1" applyFill="1" applyBorder="1" applyAlignment="1">
      <alignment horizontal="center" vertical="center"/>
    </xf>
    <xf numFmtId="6" fontId="2" fillId="3" borderId="7" xfId="4" applyNumberFormat="1" applyFont="1" applyFill="1" applyBorder="1" applyAlignment="1">
      <alignment horizontal="center" vertical="center"/>
    </xf>
    <xf numFmtId="6" fontId="3" fillId="3" borderId="7" xfId="2" applyNumberFormat="1" applyFont="1" applyFill="1" applyBorder="1" applyAlignment="1">
      <alignment horizontal="center" vertical="center"/>
    </xf>
    <xf numFmtId="169" fontId="3" fillId="3" borderId="7" xfId="2" applyNumberFormat="1" applyFont="1" applyFill="1" applyBorder="1" applyAlignment="1">
      <alignment horizontal="center" vertical="center"/>
    </xf>
    <xf numFmtId="6" fontId="2" fillId="4" borderId="7" xfId="4" applyNumberFormat="1" applyFont="1" applyFill="1" applyBorder="1" applyAlignment="1">
      <alignment horizontal="center" vertical="center"/>
    </xf>
    <xf numFmtId="6" fontId="3" fillId="4" borderId="7" xfId="2" applyNumberFormat="1" applyFont="1" applyFill="1" applyBorder="1" applyAlignment="1">
      <alignment horizontal="center" vertical="center"/>
    </xf>
    <xf numFmtId="169" fontId="3" fillId="4" borderId="7" xfId="2" applyNumberFormat="1" applyFont="1" applyFill="1" applyBorder="1" applyAlignment="1">
      <alignment horizontal="center" vertical="center"/>
    </xf>
    <xf numFmtId="6" fontId="2" fillId="5" borderId="7" xfId="4" applyNumberFormat="1" applyFont="1" applyFill="1" applyBorder="1" applyAlignment="1">
      <alignment horizontal="center" vertical="center"/>
    </xf>
    <xf numFmtId="6" fontId="3" fillId="5" borderId="7" xfId="2" applyNumberFormat="1" applyFont="1" applyFill="1" applyBorder="1" applyAlignment="1">
      <alignment horizontal="center" vertical="center"/>
    </xf>
    <xf numFmtId="169" fontId="3" fillId="5" borderId="7" xfId="2" applyNumberFormat="1" applyFont="1" applyFill="1" applyBorder="1" applyAlignment="1">
      <alignment horizontal="center" vertical="center"/>
    </xf>
    <xf numFmtId="6" fontId="2" fillId="6" borderId="7" xfId="4" applyNumberFormat="1" applyFont="1" applyFill="1" applyBorder="1" applyAlignment="1">
      <alignment horizontal="center" vertical="center"/>
    </xf>
    <xf numFmtId="6" fontId="3" fillId="6" borderId="7" xfId="2" applyNumberFormat="1" applyFont="1" applyFill="1" applyBorder="1" applyAlignment="1">
      <alignment horizontal="center" vertical="center"/>
    </xf>
    <xf numFmtId="169" fontId="3" fillId="6" borderId="7" xfId="2" applyNumberFormat="1" applyFont="1" applyFill="1" applyBorder="1" applyAlignment="1">
      <alignment horizontal="center" vertical="center"/>
    </xf>
    <xf numFmtId="6" fontId="2" fillId="7" borderId="7" xfId="4" applyNumberFormat="1" applyFont="1" applyFill="1" applyBorder="1" applyAlignment="1">
      <alignment horizontal="center" vertical="center"/>
    </xf>
    <xf numFmtId="6" fontId="3" fillId="7" borderId="7" xfId="2" applyNumberFormat="1" applyFont="1" applyFill="1" applyBorder="1" applyAlignment="1">
      <alignment horizontal="center" vertical="center"/>
    </xf>
    <xf numFmtId="169" fontId="3" fillId="7" borderId="7" xfId="2" applyNumberFormat="1" applyFont="1" applyFill="1" applyBorder="1" applyAlignment="1">
      <alignment horizontal="center" vertical="center"/>
    </xf>
    <xf numFmtId="6" fontId="2" fillId="8" borderId="7" xfId="4" applyNumberFormat="1" applyFont="1" applyFill="1" applyBorder="1" applyAlignment="1">
      <alignment horizontal="center" vertical="center"/>
    </xf>
    <xf numFmtId="6" fontId="3" fillId="8" borderId="7" xfId="2" applyNumberFormat="1" applyFont="1" applyFill="1" applyBorder="1" applyAlignment="1">
      <alignment horizontal="center" vertical="center"/>
    </xf>
    <xf numFmtId="169" fontId="3" fillId="8" borderId="7" xfId="2" applyNumberFormat="1" applyFont="1" applyFill="1" applyBorder="1" applyAlignment="1">
      <alignment horizontal="center" vertical="center"/>
    </xf>
    <xf numFmtId="6" fontId="2" fillId="0" borderId="0" xfId="4" applyNumberFormat="1" applyFont="1" applyFill="1" applyAlignment="1">
      <alignment horizontal="center" vertical="center"/>
    </xf>
    <xf numFmtId="169" fontId="3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6" fontId="9" fillId="0" borderId="0" xfId="2" applyNumberFormat="1" applyFont="1" applyAlignment="1">
      <alignment horizontal="left" vertical="center"/>
    </xf>
    <xf numFmtId="6" fontId="7" fillId="0" borderId="0" xfId="2" applyNumberFormat="1" applyFont="1" applyAlignment="1">
      <alignment horizontal="left" vertical="center"/>
    </xf>
    <xf numFmtId="6" fontId="8" fillId="0" borderId="0" xfId="2" applyNumberFormat="1" applyFont="1" applyAlignment="1">
      <alignment horizontal="left" vertical="center"/>
    </xf>
    <xf numFmtId="6" fontId="7" fillId="0" borderId="4" xfId="2" applyNumberFormat="1" applyFont="1" applyBorder="1" applyAlignment="1">
      <alignment horizontal="left" vertical="center"/>
    </xf>
    <xf numFmtId="6" fontId="7" fillId="0" borderId="5" xfId="2" applyNumberFormat="1" applyFont="1" applyBorder="1" applyAlignment="1">
      <alignment horizontal="left" vertical="center"/>
    </xf>
    <xf numFmtId="6" fontId="8" fillId="0" borderId="5" xfId="2" applyNumberFormat="1" applyFont="1" applyBorder="1" applyAlignment="1">
      <alignment horizontal="left" vertical="center"/>
    </xf>
    <xf numFmtId="6" fontId="7" fillId="2" borderId="5" xfId="2" applyNumberFormat="1" applyFont="1" applyFill="1" applyBorder="1" applyAlignment="1">
      <alignment horizontal="left" vertical="center"/>
    </xf>
    <xf numFmtId="6" fontId="8" fillId="2" borderId="5" xfId="2" applyNumberFormat="1" applyFont="1" applyFill="1" applyBorder="1" applyAlignment="1">
      <alignment horizontal="left" vertical="center"/>
    </xf>
    <xf numFmtId="6" fontId="7" fillId="3" borderId="5" xfId="2" applyNumberFormat="1" applyFont="1" applyFill="1" applyBorder="1" applyAlignment="1">
      <alignment horizontal="left" vertical="center"/>
    </xf>
    <xf numFmtId="6" fontId="8" fillId="3" borderId="5" xfId="2" applyNumberFormat="1" applyFont="1" applyFill="1" applyBorder="1" applyAlignment="1">
      <alignment horizontal="left" vertical="center"/>
    </xf>
    <xf numFmtId="6" fontId="7" fillId="4" borderId="5" xfId="2" applyNumberFormat="1" applyFont="1" applyFill="1" applyBorder="1" applyAlignment="1">
      <alignment horizontal="left" vertical="center"/>
    </xf>
    <xf numFmtId="6" fontId="8" fillId="4" borderId="5" xfId="2" applyNumberFormat="1" applyFont="1" applyFill="1" applyBorder="1" applyAlignment="1">
      <alignment horizontal="left" vertical="center"/>
    </xf>
    <xf numFmtId="6" fontId="7" fillId="5" borderId="5" xfId="2" applyNumberFormat="1" applyFont="1" applyFill="1" applyBorder="1" applyAlignment="1">
      <alignment horizontal="left" vertical="center"/>
    </xf>
    <xf numFmtId="6" fontId="8" fillId="5" borderId="5" xfId="2" applyNumberFormat="1" applyFont="1" applyFill="1" applyBorder="1" applyAlignment="1">
      <alignment horizontal="left" vertical="center"/>
    </xf>
    <xf numFmtId="6" fontId="7" fillId="6" borderId="5" xfId="2" applyNumberFormat="1" applyFont="1" applyFill="1" applyBorder="1" applyAlignment="1">
      <alignment horizontal="left" vertical="center"/>
    </xf>
    <xf numFmtId="6" fontId="8" fillId="6" borderId="5" xfId="2" applyNumberFormat="1" applyFont="1" applyFill="1" applyBorder="1" applyAlignment="1">
      <alignment horizontal="left" vertical="center"/>
    </xf>
    <xf numFmtId="6" fontId="7" fillId="7" borderId="5" xfId="2" applyNumberFormat="1" applyFont="1" applyFill="1" applyBorder="1" applyAlignment="1">
      <alignment horizontal="left" vertical="center"/>
    </xf>
    <xf numFmtId="6" fontId="8" fillId="7" borderId="5" xfId="2" applyNumberFormat="1" applyFont="1" applyFill="1" applyBorder="1" applyAlignment="1">
      <alignment horizontal="left" vertical="center"/>
    </xf>
    <xf numFmtId="6" fontId="7" fillId="8" borderId="5" xfId="2" applyNumberFormat="1" applyFont="1" applyFill="1" applyBorder="1" applyAlignment="1">
      <alignment horizontal="left" vertical="center"/>
    </xf>
    <xf numFmtId="6" fontId="8" fillId="8" borderId="5" xfId="2" applyNumberFormat="1" applyFont="1" applyFill="1" applyBorder="1" applyAlignment="1">
      <alignment horizontal="left" vertical="center"/>
    </xf>
    <xf numFmtId="6" fontId="7" fillId="9" borderId="5" xfId="2" applyNumberFormat="1" applyFont="1" applyFill="1" applyBorder="1" applyAlignment="1">
      <alignment horizontal="left" vertical="center"/>
    </xf>
    <xf numFmtId="6" fontId="8" fillId="9" borderId="5" xfId="2" applyNumberFormat="1" applyFont="1" applyFill="1" applyBorder="1" applyAlignment="1">
      <alignment horizontal="left" vertical="center"/>
    </xf>
    <xf numFmtId="6" fontId="7" fillId="0" borderId="6" xfId="2" applyNumberFormat="1" applyFont="1" applyBorder="1" applyAlignment="1">
      <alignment horizontal="left" vertical="center"/>
    </xf>
    <xf numFmtId="6" fontId="11" fillId="0" borderId="0" xfId="2" applyNumberFormat="1" applyFont="1" applyAlignment="1">
      <alignment horizontal="center" vertical="center"/>
    </xf>
    <xf numFmtId="6" fontId="10" fillId="0" borderId="0" xfId="2" applyNumberFormat="1" applyFont="1" applyAlignment="1">
      <alignment horizontal="left" vertical="center"/>
    </xf>
    <xf numFmtId="6" fontId="10" fillId="0" borderId="0" xfId="2" applyNumberFormat="1" applyFont="1" applyAlignment="1">
      <alignment horizontal="right" vertical="center"/>
    </xf>
    <xf numFmtId="6" fontId="11" fillId="0" borderId="0" xfId="4" applyNumberFormat="1" applyFont="1" applyFill="1" applyBorder="1" applyAlignment="1">
      <alignment horizontal="left" vertical="center"/>
    </xf>
    <xf numFmtId="6" fontId="11" fillId="7" borderId="0" xfId="4" applyNumberFormat="1" applyFont="1" applyFill="1" applyBorder="1" applyAlignment="1">
      <alignment horizontal="left" vertical="center"/>
    </xf>
    <xf numFmtId="6" fontId="11" fillId="2" borderId="0" xfId="4" applyNumberFormat="1" applyFont="1" applyFill="1" applyBorder="1" applyAlignment="1">
      <alignment horizontal="left" vertical="center"/>
    </xf>
    <xf numFmtId="6" fontId="11" fillId="3" borderId="0" xfId="4" applyNumberFormat="1" applyFont="1" applyFill="1" applyBorder="1" applyAlignment="1">
      <alignment horizontal="left" vertical="center"/>
    </xf>
    <xf numFmtId="6" fontId="11" fillId="4" borderId="0" xfId="4" applyNumberFormat="1" applyFont="1" applyFill="1" applyBorder="1" applyAlignment="1">
      <alignment horizontal="left" vertical="center"/>
    </xf>
    <xf numFmtId="6" fontId="11" fillId="5" borderId="0" xfId="4" applyNumberFormat="1" applyFont="1" applyFill="1" applyBorder="1" applyAlignment="1">
      <alignment horizontal="left" vertical="center"/>
    </xf>
    <xf numFmtId="6" fontId="11" fillId="6" borderId="0" xfId="4" applyNumberFormat="1" applyFont="1" applyFill="1" applyBorder="1" applyAlignment="1">
      <alignment horizontal="left" vertical="center"/>
    </xf>
    <xf numFmtId="6" fontId="11" fillId="8" borderId="0" xfId="4" applyNumberFormat="1" applyFont="1" applyFill="1" applyBorder="1" applyAlignment="1">
      <alignment horizontal="left" vertical="center"/>
    </xf>
    <xf numFmtId="6" fontId="11" fillId="9" borderId="0" xfId="4" applyNumberFormat="1" applyFont="1" applyFill="1" applyBorder="1" applyAlignment="1">
      <alignment horizontal="left" vertical="center"/>
    </xf>
    <xf numFmtId="6" fontId="10" fillId="2" borderId="0" xfId="4" applyNumberFormat="1" applyFont="1" applyFill="1" applyBorder="1" applyAlignment="1">
      <alignment horizontal="center" vertical="center"/>
    </xf>
    <xf numFmtId="6" fontId="10" fillId="3" borderId="0" xfId="4" applyNumberFormat="1" applyFont="1" applyFill="1" applyBorder="1" applyAlignment="1">
      <alignment horizontal="center" vertical="center"/>
    </xf>
    <xf numFmtId="6" fontId="10" fillId="4" borderId="0" xfId="4" applyNumberFormat="1" applyFont="1" applyFill="1" applyBorder="1" applyAlignment="1">
      <alignment horizontal="center" vertical="center"/>
    </xf>
    <xf numFmtId="6" fontId="10" fillId="5" borderId="0" xfId="4" applyNumberFormat="1" applyFont="1" applyFill="1" applyBorder="1" applyAlignment="1">
      <alignment horizontal="center" vertical="center"/>
    </xf>
    <xf numFmtId="6" fontId="10" fillId="6" borderId="0" xfId="4" applyNumberFormat="1" applyFont="1" applyFill="1" applyBorder="1" applyAlignment="1">
      <alignment horizontal="center" vertical="center"/>
    </xf>
    <xf numFmtId="6" fontId="10" fillId="7" borderId="0" xfId="4" applyNumberFormat="1" applyFont="1" applyFill="1" applyBorder="1" applyAlignment="1">
      <alignment horizontal="center" vertical="center"/>
    </xf>
    <xf numFmtId="6" fontId="10" fillId="8" borderId="0" xfId="4" applyNumberFormat="1" applyFont="1" applyFill="1" applyBorder="1" applyAlignment="1">
      <alignment horizontal="center" vertical="center"/>
    </xf>
    <xf numFmtId="6" fontId="10" fillId="9" borderId="0" xfId="4" applyNumberFormat="1" applyFont="1" applyFill="1" applyBorder="1" applyAlignment="1">
      <alignment horizontal="center" vertical="center"/>
    </xf>
    <xf numFmtId="9" fontId="11" fillId="2" borderId="0" xfId="3" applyNumberFormat="1" applyFont="1" applyFill="1" applyBorder="1" applyAlignment="1">
      <alignment horizontal="left" vertical="center"/>
    </xf>
    <xf numFmtId="9" fontId="11" fillId="3" borderId="0" xfId="3" applyNumberFormat="1" applyFont="1" applyFill="1" applyBorder="1" applyAlignment="1">
      <alignment horizontal="left" vertical="center"/>
    </xf>
    <xf numFmtId="9" fontId="11" fillId="4" borderId="0" xfId="3" applyNumberFormat="1" applyFont="1" applyFill="1" applyBorder="1" applyAlignment="1">
      <alignment horizontal="left" vertical="center"/>
    </xf>
    <xf numFmtId="9" fontId="11" fillId="5" borderId="0" xfId="3" applyNumberFormat="1" applyFont="1" applyFill="1" applyBorder="1" applyAlignment="1">
      <alignment horizontal="left" vertical="center"/>
    </xf>
    <xf numFmtId="9" fontId="11" fillId="6" borderId="0" xfId="3" applyNumberFormat="1" applyFont="1" applyFill="1" applyBorder="1" applyAlignment="1">
      <alignment horizontal="left" vertical="center"/>
    </xf>
    <xf numFmtId="9" fontId="11" fillId="7" borderId="0" xfId="3" applyNumberFormat="1" applyFont="1" applyFill="1" applyBorder="1" applyAlignment="1">
      <alignment horizontal="left" vertical="center"/>
    </xf>
    <xf numFmtId="9" fontId="11" fillId="8" borderId="0" xfId="3" applyNumberFormat="1" applyFont="1" applyFill="1" applyBorder="1" applyAlignment="1">
      <alignment horizontal="left" vertical="center"/>
    </xf>
    <xf numFmtId="9" fontId="11" fillId="9" borderId="0" xfId="3" applyNumberFormat="1" applyFont="1" applyFill="1" applyBorder="1" applyAlignment="1">
      <alignment horizontal="left" vertical="center"/>
    </xf>
    <xf numFmtId="6" fontId="13" fillId="0" borderId="0" xfId="2" applyNumberFormat="1" applyFont="1" applyAlignment="1">
      <alignment horizontal="left" vertical="center"/>
    </xf>
    <xf numFmtId="6" fontId="14" fillId="0" borderId="0" xfId="2" applyNumberFormat="1" applyFont="1" applyAlignment="1">
      <alignment horizontal="center" vertical="center"/>
    </xf>
    <xf numFmtId="6" fontId="14" fillId="2" borderId="0" xfId="2" applyNumberFormat="1" applyFont="1" applyFill="1" applyAlignment="1">
      <alignment horizontal="center" vertical="center"/>
    </xf>
    <xf numFmtId="6" fontId="14" fillId="3" borderId="0" xfId="2" applyNumberFormat="1" applyFont="1" applyFill="1" applyAlignment="1">
      <alignment horizontal="center" vertical="center"/>
    </xf>
    <xf numFmtId="6" fontId="14" fillId="4" borderId="0" xfId="2" applyNumberFormat="1" applyFont="1" applyFill="1" applyAlignment="1">
      <alignment horizontal="center" vertical="center"/>
    </xf>
    <xf numFmtId="6" fontId="14" fillId="5" borderId="0" xfId="2" applyNumberFormat="1" applyFont="1" applyFill="1" applyAlignment="1">
      <alignment horizontal="center" vertical="center"/>
    </xf>
    <xf numFmtId="6" fontId="14" fillId="6" borderId="0" xfId="2" applyNumberFormat="1" applyFont="1" applyFill="1" applyAlignment="1">
      <alignment horizontal="center" vertical="center"/>
    </xf>
    <xf numFmtId="6" fontId="14" fillId="7" borderId="0" xfId="2" applyNumberFormat="1" applyFont="1" applyFill="1" applyAlignment="1">
      <alignment horizontal="center" vertical="center"/>
    </xf>
    <xf numFmtId="6" fontId="14" fillId="8" borderId="0" xfId="2" applyNumberFormat="1" applyFont="1" applyFill="1" applyAlignment="1">
      <alignment horizontal="center" vertical="center"/>
    </xf>
    <xf numFmtId="6" fontId="14" fillId="9" borderId="0" xfId="2" applyNumberFormat="1" applyFont="1" applyFill="1" applyAlignment="1">
      <alignment horizontal="center" vertical="center"/>
    </xf>
    <xf numFmtId="6" fontId="15" fillId="0" borderId="0" xfId="2" applyNumberFormat="1" applyFont="1" applyAlignment="1">
      <alignment horizontal="left" vertical="center"/>
    </xf>
    <xf numFmtId="6" fontId="16" fillId="0" borderId="0" xfId="2" applyNumberFormat="1" applyFont="1" applyAlignment="1">
      <alignment horizontal="center" vertical="center"/>
    </xf>
    <xf numFmtId="0" fontId="18" fillId="0" borderId="0" xfId="2" applyFont="1" applyAlignment="1">
      <alignment horizontal="left" vertical="center"/>
    </xf>
    <xf numFmtId="0" fontId="18" fillId="0" borderId="6" xfId="2" applyFont="1" applyBorder="1" applyAlignment="1">
      <alignment horizontal="left" vertical="center"/>
    </xf>
    <xf numFmtId="0" fontId="19" fillId="0" borderId="0" xfId="2" applyFont="1" applyAlignment="1">
      <alignment horizontal="right" vertical="center"/>
    </xf>
    <xf numFmtId="0" fontId="19" fillId="0" borderId="0" xfId="2" applyFont="1" applyAlignment="1">
      <alignment horizontal="left" vertical="center"/>
    </xf>
    <xf numFmtId="38" fontId="20" fillId="0" borderId="0" xfId="2" applyNumberFormat="1" applyFont="1" applyAlignment="1">
      <alignment horizontal="center" vertical="center"/>
    </xf>
    <xf numFmtId="165" fontId="20" fillId="2" borderId="8" xfId="2" applyNumberFormat="1" applyFont="1" applyFill="1" applyBorder="1" applyAlignment="1">
      <alignment horizontal="center" vertical="center"/>
    </xf>
    <xf numFmtId="38" fontId="20" fillId="2" borderId="0" xfId="2" applyNumberFormat="1" applyFont="1" applyFill="1" applyAlignment="1">
      <alignment horizontal="center" vertical="center"/>
    </xf>
    <xf numFmtId="165" fontId="20" fillId="3" borderId="8" xfId="2" applyNumberFormat="1" applyFont="1" applyFill="1" applyBorder="1" applyAlignment="1">
      <alignment horizontal="center" vertical="center"/>
    </xf>
    <xf numFmtId="38" fontId="20" fillId="3" borderId="0" xfId="2" applyNumberFormat="1" applyFont="1" applyFill="1" applyAlignment="1">
      <alignment horizontal="center" vertical="center"/>
    </xf>
    <xf numFmtId="40" fontId="20" fillId="4" borderId="8" xfId="2" applyNumberFormat="1" applyFont="1" applyFill="1" applyBorder="1" applyAlignment="1">
      <alignment horizontal="center" vertical="center"/>
    </xf>
    <xf numFmtId="38" fontId="20" fillId="4" borderId="0" xfId="2" applyNumberFormat="1" applyFont="1" applyFill="1" applyAlignment="1">
      <alignment horizontal="center" vertical="center"/>
    </xf>
    <xf numFmtId="40" fontId="20" fillId="5" borderId="8" xfId="2" applyNumberFormat="1" applyFont="1" applyFill="1" applyBorder="1" applyAlignment="1">
      <alignment horizontal="center" vertical="center"/>
    </xf>
    <xf numFmtId="38" fontId="20" fillId="5" borderId="0" xfId="2" applyNumberFormat="1" applyFont="1" applyFill="1" applyAlignment="1">
      <alignment horizontal="center" vertical="center"/>
    </xf>
    <xf numFmtId="165" fontId="20" fillId="6" borderId="8" xfId="2" applyNumberFormat="1" applyFont="1" applyFill="1" applyBorder="1" applyAlignment="1">
      <alignment horizontal="center" vertical="center"/>
    </xf>
    <xf numFmtId="38" fontId="20" fillId="6" borderId="0" xfId="2" applyNumberFormat="1" applyFont="1" applyFill="1" applyAlignment="1">
      <alignment horizontal="center" vertical="center"/>
    </xf>
    <xf numFmtId="165" fontId="20" fillId="7" borderId="0" xfId="2" applyNumberFormat="1" applyFont="1" applyFill="1" applyAlignment="1">
      <alignment horizontal="center" vertical="center"/>
    </xf>
    <xf numFmtId="38" fontId="20" fillId="7" borderId="0" xfId="2" applyNumberFormat="1" applyFont="1" applyFill="1" applyAlignment="1">
      <alignment horizontal="center" vertical="center"/>
    </xf>
    <xf numFmtId="165" fontId="20" fillId="10" borderId="8" xfId="2" applyNumberFormat="1" applyFont="1" applyFill="1" applyBorder="1" applyAlignment="1">
      <alignment horizontal="center" vertical="center"/>
    </xf>
    <xf numFmtId="38" fontId="20" fillId="10" borderId="0" xfId="2" applyNumberFormat="1" applyFont="1" applyFill="1" applyAlignment="1">
      <alignment horizontal="center" vertical="center"/>
    </xf>
    <xf numFmtId="38" fontId="20" fillId="8" borderId="0" xfId="2" applyNumberFormat="1" applyFont="1" applyFill="1" applyAlignment="1">
      <alignment horizontal="center" vertical="center"/>
    </xf>
    <xf numFmtId="38" fontId="20" fillId="10" borderId="8" xfId="2" applyNumberFormat="1" applyFont="1" applyFill="1" applyBorder="1" applyAlignment="1">
      <alignment horizontal="center" vertical="center"/>
    </xf>
    <xf numFmtId="38" fontId="20" fillId="9" borderId="0" xfId="2" applyNumberFormat="1" applyFont="1" applyFill="1" applyAlignment="1">
      <alignment horizontal="center" vertical="center"/>
    </xf>
    <xf numFmtId="0" fontId="18" fillId="0" borderId="0" xfId="2" applyFont="1" applyAlignment="1">
      <alignment horizontal="centerContinuous"/>
    </xf>
    <xf numFmtId="6" fontId="18" fillId="0" borderId="0" xfId="2" applyNumberFormat="1" applyFont="1" applyAlignment="1">
      <alignment horizontal="left" vertical="center"/>
    </xf>
    <xf numFmtId="6" fontId="18" fillId="0" borderId="6" xfId="2" applyNumberFormat="1" applyFont="1" applyBorder="1" applyAlignment="1">
      <alignment horizontal="left" vertical="center"/>
    </xf>
    <xf numFmtId="6" fontId="19" fillId="0" borderId="0" xfId="2" applyNumberFormat="1" applyFont="1" applyAlignment="1">
      <alignment horizontal="left" vertical="center"/>
    </xf>
    <xf numFmtId="6" fontId="20" fillId="0" borderId="0" xfId="3" applyNumberFormat="1" applyFont="1" applyBorder="1" applyAlignment="1">
      <alignment horizontal="center" vertical="center"/>
    </xf>
    <xf numFmtId="6" fontId="20" fillId="2" borderId="0" xfId="2" applyNumberFormat="1" applyFont="1" applyFill="1" applyAlignment="1">
      <alignment horizontal="right" vertical="center"/>
    </xf>
    <xf numFmtId="6" fontId="20" fillId="2" borderId="5" xfId="2" applyNumberFormat="1" applyFont="1" applyFill="1" applyBorder="1" applyAlignment="1">
      <alignment horizontal="right" vertical="center"/>
    </xf>
    <xf numFmtId="6" fontId="20" fillId="2" borderId="0" xfId="3" applyNumberFormat="1" applyFont="1" applyFill="1" applyBorder="1" applyAlignment="1">
      <alignment horizontal="center" vertical="center"/>
    </xf>
    <xf numFmtId="6" fontId="20" fillId="3" borderId="0" xfId="2" applyNumberFormat="1" applyFont="1" applyFill="1" applyAlignment="1">
      <alignment horizontal="right" vertical="center"/>
    </xf>
    <xf numFmtId="6" fontId="20" fillId="3" borderId="5" xfId="2" applyNumberFormat="1" applyFont="1" applyFill="1" applyBorder="1" applyAlignment="1">
      <alignment horizontal="right" vertical="center"/>
    </xf>
    <xf numFmtId="6" fontId="20" fillId="3" borderId="0" xfId="3" applyNumberFormat="1" applyFont="1" applyFill="1" applyBorder="1" applyAlignment="1">
      <alignment horizontal="center" vertical="center"/>
    </xf>
    <xf numFmtId="6" fontId="20" fillId="4" borderId="0" xfId="2" applyNumberFormat="1" applyFont="1" applyFill="1" applyAlignment="1">
      <alignment horizontal="right" vertical="center"/>
    </xf>
    <xf numFmtId="6" fontId="20" fillId="4" borderId="5" xfId="2" applyNumberFormat="1" applyFont="1" applyFill="1" applyBorder="1" applyAlignment="1">
      <alignment horizontal="right" vertical="center"/>
    </xf>
    <xf numFmtId="6" fontId="20" fillId="4" borderId="0" xfId="3" applyNumberFormat="1" applyFont="1" applyFill="1" applyBorder="1" applyAlignment="1">
      <alignment horizontal="center" vertical="center"/>
    </xf>
    <xf numFmtId="6" fontId="20" fillId="5" borderId="0" xfId="2" applyNumberFormat="1" applyFont="1" applyFill="1" applyAlignment="1">
      <alignment horizontal="right" vertical="center"/>
    </xf>
    <xf numFmtId="6" fontId="20" fillId="5" borderId="5" xfId="2" applyNumberFormat="1" applyFont="1" applyFill="1" applyBorder="1" applyAlignment="1">
      <alignment horizontal="right" vertical="center"/>
    </xf>
    <xf numFmtId="6" fontId="20" fillId="5" borderId="0" xfId="3" applyNumberFormat="1" applyFont="1" applyFill="1" applyBorder="1" applyAlignment="1">
      <alignment horizontal="center" vertical="center"/>
    </xf>
    <xf numFmtId="6" fontId="20" fillId="6" borderId="0" xfId="2" applyNumberFormat="1" applyFont="1" applyFill="1" applyAlignment="1">
      <alignment horizontal="right" vertical="center"/>
    </xf>
    <xf numFmtId="6" fontId="20" fillId="6" borderId="5" xfId="2" applyNumberFormat="1" applyFont="1" applyFill="1" applyBorder="1" applyAlignment="1">
      <alignment horizontal="right" vertical="center"/>
    </xf>
    <xf numFmtId="6" fontId="20" fillId="6" borderId="0" xfId="3" applyNumberFormat="1" applyFont="1" applyFill="1" applyBorder="1" applyAlignment="1">
      <alignment horizontal="center" vertical="center"/>
    </xf>
    <xf numFmtId="6" fontId="20" fillId="7" borderId="0" xfId="2" applyNumberFormat="1" applyFont="1" applyFill="1" applyAlignment="1">
      <alignment horizontal="right" vertical="center"/>
    </xf>
    <xf numFmtId="6" fontId="20" fillId="7" borderId="5" xfId="2" applyNumberFormat="1" applyFont="1" applyFill="1" applyBorder="1" applyAlignment="1">
      <alignment horizontal="right" vertical="center"/>
    </xf>
    <xf numFmtId="6" fontId="20" fillId="7" borderId="0" xfId="3" applyNumberFormat="1" applyFont="1" applyFill="1" applyBorder="1" applyAlignment="1">
      <alignment horizontal="center" vertical="center"/>
    </xf>
    <xf numFmtId="6" fontId="20" fillId="8" borderId="0" xfId="2" applyNumberFormat="1" applyFont="1" applyFill="1" applyAlignment="1">
      <alignment horizontal="right" vertical="center"/>
    </xf>
    <xf numFmtId="6" fontId="20" fillId="8" borderId="5" xfId="2" applyNumberFormat="1" applyFont="1" applyFill="1" applyBorder="1" applyAlignment="1">
      <alignment horizontal="right" vertical="center"/>
    </xf>
    <xf numFmtId="6" fontId="20" fillId="8" borderId="0" xfId="3" applyNumberFormat="1" applyFont="1" applyFill="1" applyBorder="1" applyAlignment="1">
      <alignment horizontal="center" vertical="center"/>
    </xf>
    <xf numFmtId="166" fontId="20" fillId="9" borderId="0" xfId="1" applyNumberFormat="1" applyFont="1" applyFill="1" applyAlignment="1">
      <alignment horizontal="center" vertical="center"/>
    </xf>
    <xf numFmtId="6" fontId="20" fillId="9" borderId="5" xfId="2" applyNumberFormat="1" applyFont="1" applyFill="1" applyBorder="1" applyAlignment="1">
      <alignment horizontal="right" vertical="center"/>
    </xf>
    <xf numFmtId="6" fontId="20" fillId="9" borderId="0" xfId="3" applyNumberFormat="1" applyFont="1" applyFill="1" applyBorder="1" applyAlignment="1">
      <alignment horizontal="center" vertical="center"/>
    </xf>
    <xf numFmtId="6" fontId="21" fillId="0" borderId="0" xfId="2" applyNumberFormat="1" applyFont="1" applyAlignment="1">
      <alignment horizontal="left" vertical="center"/>
    </xf>
    <xf numFmtId="6" fontId="19" fillId="2" borderId="0" xfId="2" applyNumberFormat="1" applyFont="1" applyFill="1" applyAlignment="1">
      <alignment horizontal="center" vertical="center"/>
    </xf>
    <xf numFmtId="6" fontId="21" fillId="2" borderId="0" xfId="2" applyNumberFormat="1" applyFont="1" applyFill="1" applyAlignment="1">
      <alignment horizontal="left" vertical="center"/>
    </xf>
    <xf numFmtId="6" fontId="19" fillId="3" borderId="0" xfId="2" applyNumberFormat="1" applyFont="1" applyFill="1" applyAlignment="1">
      <alignment horizontal="center" vertical="center"/>
    </xf>
    <xf numFmtId="6" fontId="21" fillId="3" borderId="0" xfId="2" applyNumberFormat="1" applyFont="1" applyFill="1" applyAlignment="1">
      <alignment horizontal="left" vertical="center"/>
    </xf>
    <xf numFmtId="6" fontId="19" fillId="4" borderId="0" xfId="2" applyNumberFormat="1" applyFont="1" applyFill="1" applyAlignment="1">
      <alignment horizontal="center" vertical="center"/>
    </xf>
    <xf numFmtId="6" fontId="21" fillId="4" borderId="0" xfId="2" applyNumberFormat="1" applyFont="1" applyFill="1" applyAlignment="1">
      <alignment horizontal="left" vertical="center"/>
    </xf>
    <xf numFmtId="6" fontId="19" fillId="5" borderId="0" xfId="2" applyNumberFormat="1" applyFont="1" applyFill="1" applyAlignment="1">
      <alignment horizontal="center" vertical="center"/>
    </xf>
    <xf numFmtId="6" fontId="21" fillId="5" borderId="0" xfId="2" applyNumberFormat="1" applyFont="1" applyFill="1" applyAlignment="1">
      <alignment horizontal="left" vertical="center"/>
    </xf>
    <xf numFmtId="6" fontId="19" fillId="6" borderId="0" xfId="2" applyNumberFormat="1" applyFont="1" applyFill="1" applyAlignment="1">
      <alignment horizontal="center" vertical="center"/>
    </xf>
    <xf numFmtId="6" fontId="21" fillId="6" borderId="0" xfId="2" applyNumberFormat="1" applyFont="1" applyFill="1" applyAlignment="1">
      <alignment horizontal="left" vertical="center"/>
    </xf>
    <xf numFmtId="6" fontId="19" fillId="7" borderId="0" xfId="2" applyNumberFormat="1" applyFont="1" applyFill="1" applyAlignment="1">
      <alignment horizontal="center" vertical="center"/>
    </xf>
    <xf numFmtId="6" fontId="21" fillId="7" borderId="0" xfId="2" applyNumberFormat="1" applyFont="1" applyFill="1" applyAlignment="1">
      <alignment horizontal="left" vertical="center"/>
    </xf>
    <xf numFmtId="6" fontId="19" fillId="8" borderId="0" xfId="2" applyNumberFormat="1" applyFont="1" applyFill="1" applyAlignment="1">
      <alignment horizontal="center" vertical="center"/>
    </xf>
    <xf numFmtId="6" fontId="21" fillId="8" borderId="0" xfId="2" applyNumberFormat="1" applyFont="1" applyFill="1" applyAlignment="1">
      <alignment horizontal="left" vertical="center"/>
    </xf>
    <xf numFmtId="6" fontId="19" fillId="9" borderId="0" xfId="2" applyNumberFormat="1" applyFont="1" applyFill="1" applyAlignment="1">
      <alignment horizontal="center" vertical="center"/>
    </xf>
    <xf numFmtId="6" fontId="21" fillId="9" borderId="0" xfId="2" applyNumberFormat="1" applyFont="1" applyFill="1" applyAlignment="1">
      <alignment horizontal="left" vertical="center"/>
    </xf>
    <xf numFmtId="6" fontId="20" fillId="0" borderId="0" xfId="2" applyNumberFormat="1" applyFont="1" applyAlignment="1">
      <alignment horizontal="left" vertical="center"/>
    </xf>
    <xf numFmtId="6" fontId="18" fillId="2" borderId="0" xfId="2" applyNumberFormat="1" applyFont="1" applyFill="1" applyAlignment="1">
      <alignment horizontal="left" vertical="center"/>
    </xf>
    <xf numFmtId="6" fontId="20" fillId="2" borderId="0" xfId="2" applyNumberFormat="1" applyFont="1" applyFill="1" applyAlignment="1">
      <alignment horizontal="left" vertical="center"/>
    </xf>
    <xf numFmtId="6" fontId="18" fillId="3" borderId="0" xfId="2" applyNumberFormat="1" applyFont="1" applyFill="1" applyAlignment="1">
      <alignment horizontal="left" vertical="center"/>
    </xf>
    <xf numFmtId="6" fontId="20" fillId="3" borderId="0" xfId="2" applyNumberFormat="1" applyFont="1" applyFill="1" applyAlignment="1">
      <alignment horizontal="left" vertical="center"/>
    </xf>
    <xf numFmtId="6" fontId="18" fillId="4" borderId="0" xfId="2" applyNumberFormat="1" applyFont="1" applyFill="1" applyAlignment="1">
      <alignment horizontal="left" vertical="center"/>
    </xf>
    <xf numFmtId="6" fontId="20" fillId="4" borderId="0" xfId="2" applyNumberFormat="1" applyFont="1" applyFill="1" applyAlignment="1">
      <alignment horizontal="left" vertical="center"/>
    </xf>
    <xf numFmtId="6" fontId="18" fillId="5" borderId="0" xfId="2" applyNumberFormat="1" applyFont="1" applyFill="1" applyAlignment="1">
      <alignment horizontal="left" vertical="center"/>
    </xf>
    <xf numFmtId="6" fontId="20" fillId="5" borderId="0" xfId="2" applyNumberFormat="1" applyFont="1" applyFill="1" applyAlignment="1">
      <alignment horizontal="left" vertical="center"/>
    </xf>
    <xf numFmtId="6" fontId="18" fillId="6" borderId="0" xfId="2" applyNumberFormat="1" applyFont="1" applyFill="1" applyAlignment="1">
      <alignment horizontal="left" vertical="center"/>
    </xf>
    <xf numFmtId="6" fontId="20" fillId="6" borderId="0" xfId="2" applyNumberFormat="1" applyFont="1" applyFill="1" applyAlignment="1">
      <alignment horizontal="left" vertical="center"/>
    </xf>
    <xf numFmtId="6" fontId="18" fillId="7" borderId="0" xfId="2" applyNumberFormat="1" applyFont="1" applyFill="1" applyAlignment="1">
      <alignment horizontal="left" vertical="center"/>
    </xf>
    <xf numFmtId="6" fontId="20" fillId="7" borderId="0" xfId="2" applyNumberFormat="1" applyFont="1" applyFill="1" applyAlignment="1">
      <alignment horizontal="left" vertical="center"/>
    </xf>
    <xf numFmtId="6" fontId="18" fillId="8" borderId="0" xfId="2" applyNumberFormat="1" applyFont="1" applyFill="1" applyAlignment="1">
      <alignment horizontal="left" vertical="center"/>
    </xf>
    <xf numFmtId="6" fontId="20" fillId="8" borderId="0" xfId="2" applyNumberFormat="1" applyFont="1" applyFill="1" applyAlignment="1">
      <alignment horizontal="left" vertical="center"/>
    </xf>
    <xf numFmtId="6" fontId="18" fillId="9" borderId="0" xfId="2" applyNumberFormat="1" applyFont="1" applyFill="1" applyAlignment="1">
      <alignment horizontal="left" vertical="center"/>
    </xf>
    <xf numFmtId="6" fontId="20" fillId="9" borderId="0" xfId="2" applyNumberFormat="1" applyFont="1" applyFill="1" applyAlignment="1">
      <alignment horizontal="left" vertical="center"/>
    </xf>
    <xf numFmtId="6" fontId="19" fillId="0" borderId="0" xfId="2" applyNumberFormat="1" applyFont="1" applyAlignment="1">
      <alignment horizontal="center" vertical="center"/>
    </xf>
    <xf numFmtId="0" fontId="21" fillId="2" borderId="0" xfId="2" applyFont="1" applyFill="1" applyAlignment="1">
      <alignment horizontal="left" vertical="center"/>
    </xf>
    <xf numFmtId="0" fontId="21" fillId="3" borderId="0" xfId="2" applyFont="1" applyFill="1" applyAlignment="1">
      <alignment horizontal="left" vertical="center"/>
    </xf>
    <xf numFmtId="0" fontId="21" fillId="4" borderId="0" xfId="2" applyFont="1" applyFill="1" applyAlignment="1">
      <alignment horizontal="left" vertical="center"/>
    </xf>
    <xf numFmtId="0" fontId="21" fillId="5" borderId="0" xfId="2" applyFont="1" applyFill="1" applyAlignment="1">
      <alignment horizontal="left" vertical="center"/>
    </xf>
    <xf numFmtId="0" fontId="21" fillId="6" borderId="0" xfId="2" applyFont="1" applyFill="1" applyAlignment="1">
      <alignment horizontal="left" vertical="center"/>
    </xf>
    <xf numFmtId="0" fontId="21" fillId="7" borderId="0" xfId="2" applyFont="1" applyFill="1" applyAlignment="1">
      <alignment horizontal="left" vertical="center"/>
    </xf>
    <xf numFmtId="0" fontId="21" fillId="8" borderId="0" xfId="2" applyFont="1" applyFill="1" applyAlignment="1">
      <alignment horizontal="left" vertical="center"/>
    </xf>
    <xf numFmtId="0" fontId="21" fillId="9" borderId="0" xfId="2" applyFont="1" applyFill="1" applyAlignment="1">
      <alignment horizontal="left" vertical="center"/>
    </xf>
    <xf numFmtId="6" fontId="18" fillId="2" borderId="0" xfId="2" applyNumberFormat="1" applyFont="1" applyFill="1" applyAlignment="1">
      <alignment horizontal="center" vertical="center"/>
    </xf>
    <xf numFmtId="8" fontId="20" fillId="2" borderId="0" xfId="2" applyNumberFormat="1" applyFont="1" applyFill="1" applyAlignment="1">
      <alignment horizontal="left" vertical="center"/>
    </xf>
    <xf numFmtId="9" fontId="20" fillId="2" borderId="0" xfId="3" applyNumberFormat="1" applyFont="1" applyFill="1" applyBorder="1" applyAlignment="1">
      <alignment horizontal="left" vertical="center"/>
    </xf>
    <xf numFmtId="6" fontId="18" fillId="3" borderId="0" xfId="2" applyNumberFormat="1" applyFont="1" applyFill="1" applyAlignment="1">
      <alignment horizontal="center" vertical="center"/>
    </xf>
    <xf numFmtId="8" fontId="20" fillId="3" borderId="0" xfId="2" applyNumberFormat="1" applyFont="1" applyFill="1" applyAlignment="1">
      <alignment horizontal="left" vertical="center"/>
    </xf>
    <xf numFmtId="9" fontId="20" fillId="3" borderId="0" xfId="3" applyNumberFormat="1" applyFont="1" applyFill="1" applyBorder="1" applyAlignment="1">
      <alignment horizontal="left" vertical="center"/>
    </xf>
    <xf numFmtId="6" fontId="18" fillId="4" borderId="0" xfId="2" applyNumberFormat="1" applyFont="1" applyFill="1" applyAlignment="1">
      <alignment horizontal="center" vertical="center"/>
    </xf>
    <xf numFmtId="8" fontId="20" fillId="4" borderId="0" xfId="2" applyNumberFormat="1" applyFont="1" applyFill="1" applyAlignment="1">
      <alignment horizontal="left" vertical="center"/>
    </xf>
    <xf numFmtId="9" fontId="20" fillId="4" borderId="0" xfId="3" applyNumberFormat="1" applyFont="1" applyFill="1" applyBorder="1" applyAlignment="1">
      <alignment horizontal="left" vertical="center"/>
    </xf>
    <xf numFmtId="6" fontId="18" fillId="5" borderId="0" xfId="2" applyNumberFormat="1" applyFont="1" applyFill="1" applyAlignment="1">
      <alignment horizontal="center" vertical="center"/>
    </xf>
    <xf numFmtId="8" fontId="20" fillId="5" borderId="0" xfId="2" applyNumberFormat="1" applyFont="1" applyFill="1" applyAlignment="1">
      <alignment horizontal="left" vertical="center"/>
    </xf>
    <xf numFmtId="9" fontId="20" fillId="5" borderId="0" xfId="3" applyNumberFormat="1" applyFont="1" applyFill="1" applyBorder="1" applyAlignment="1">
      <alignment horizontal="left" vertical="center"/>
    </xf>
    <xf numFmtId="6" fontId="18" fillId="6" borderId="0" xfId="2" applyNumberFormat="1" applyFont="1" applyFill="1" applyAlignment="1">
      <alignment horizontal="center" vertical="center"/>
    </xf>
    <xf numFmtId="8" fontId="20" fillId="6" borderId="0" xfId="2" applyNumberFormat="1" applyFont="1" applyFill="1" applyAlignment="1">
      <alignment horizontal="left" vertical="center"/>
    </xf>
    <xf numFmtId="9" fontId="20" fillId="6" borderId="0" xfId="3" applyNumberFormat="1" applyFont="1" applyFill="1" applyBorder="1" applyAlignment="1">
      <alignment horizontal="left" vertical="center"/>
    </xf>
    <xf numFmtId="6" fontId="18" fillId="7" borderId="0" xfId="2" applyNumberFormat="1" applyFont="1" applyFill="1" applyAlignment="1">
      <alignment horizontal="center" vertical="center"/>
    </xf>
    <xf numFmtId="9" fontId="20" fillId="7" borderId="0" xfId="3" applyNumberFormat="1" applyFont="1" applyFill="1" applyBorder="1" applyAlignment="1">
      <alignment horizontal="left" vertical="center"/>
    </xf>
    <xf numFmtId="6" fontId="18" fillId="8" borderId="0" xfId="2" applyNumberFormat="1" applyFont="1" applyFill="1" applyAlignment="1">
      <alignment horizontal="center" vertical="center"/>
    </xf>
    <xf numFmtId="8" fontId="20" fillId="10" borderId="0" xfId="2" applyNumberFormat="1" applyFont="1" applyFill="1" applyAlignment="1">
      <alignment horizontal="left" vertical="center"/>
    </xf>
    <xf numFmtId="9" fontId="20" fillId="8" borderId="0" xfId="3" applyNumberFormat="1" applyFont="1" applyFill="1" applyBorder="1" applyAlignment="1">
      <alignment horizontal="left" vertical="center"/>
    </xf>
    <xf numFmtId="6" fontId="18" fillId="9" borderId="0" xfId="2" applyNumberFormat="1" applyFont="1" applyFill="1" applyAlignment="1">
      <alignment horizontal="center" vertical="center"/>
    </xf>
    <xf numFmtId="8" fontId="20" fillId="9" borderId="0" xfId="2" applyNumberFormat="1" applyFont="1" applyFill="1" applyAlignment="1">
      <alignment horizontal="left" vertical="center"/>
    </xf>
    <xf numFmtId="9" fontId="20" fillId="9" borderId="0" xfId="3" applyNumberFormat="1" applyFont="1" applyFill="1" applyBorder="1" applyAlignment="1">
      <alignment horizontal="left" vertical="center"/>
    </xf>
    <xf numFmtId="6" fontId="22" fillId="2" borderId="0" xfId="4" applyNumberFormat="1" applyFont="1" applyFill="1" applyBorder="1" applyAlignment="1">
      <alignment horizontal="center" vertical="center"/>
    </xf>
    <xf numFmtId="6" fontId="22" fillId="4" borderId="0" xfId="4" applyNumberFormat="1" applyFont="1" applyFill="1" applyBorder="1" applyAlignment="1">
      <alignment horizontal="center" vertical="center"/>
    </xf>
    <xf numFmtId="6" fontId="20" fillId="11" borderId="0" xfId="2" applyNumberFormat="1" applyFont="1" applyFill="1" applyAlignment="1">
      <alignment horizontal="left" vertical="center"/>
    </xf>
    <xf numFmtId="6" fontId="22" fillId="5" borderId="0" xfId="4" applyNumberFormat="1" applyFont="1" applyFill="1" applyBorder="1" applyAlignment="1">
      <alignment horizontal="center" vertical="center"/>
    </xf>
    <xf numFmtId="6" fontId="22" fillId="6" borderId="0" xfId="4" applyNumberFormat="1" applyFont="1" applyFill="1" applyBorder="1" applyAlignment="1">
      <alignment horizontal="center" vertical="center"/>
    </xf>
    <xf numFmtId="6" fontId="22" fillId="7" borderId="0" xfId="4" applyNumberFormat="1" applyFont="1" applyFill="1" applyBorder="1" applyAlignment="1">
      <alignment horizontal="center" vertical="center"/>
    </xf>
    <xf numFmtId="6" fontId="22" fillId="8" borderId="0" xfId="4" applyNumberFormat="1" applyFont="1" applyFill="1" applyBorder="1" applyAlignment="1">
      <alignment horizontal="center" vertical="center"/>
    </xf>
    <xf numFmtId="169" fontId="20" fillId="8" borderId="0" xfId="2" applyNumberFormat="1" applyFont="1" applyFill="1" applyAlignment="1">
      <alignment horizontal="left" vertical="center"/>
    </xf>
    <xf numFmtId="8" fontId="20" fillId="8" borderId="0" xfId="2" applyNumberFormat="1" applyFont="1" applyFill="1" applyAlignment="1">
      <alignment horizontal="left" vertical="center"/>
    </xf>
    <xf numFmtId="169" fontId="20" fillId="9" borderId="0" xfId="2" applyNumberFormat="1" applyFont="1" applyFill="1" applyAlignment="1">
      <alignment horizontal="left" vertical="center"/>
    </xf>
    <xf numFmtId="8" fontId="21" fillId="2" borderId="0" xfId="2" applyNumberFormat="1" applyFont="1" applyFill="1" applyAlignment="1">
      <alignment horizontal="left" vertical="center"/>
    </xf>
    <xf numFmtId="8" fontId="21" fillId="3" borderId="0" xfId="2" applyNumberFormat="1" applyFont="1" applyFill="1" applyAlignment="1">
      <alignment horizontal="left" vertical="center"/>
    </xf>
    <xf numFmtId="8" fontId="21" fillId="4" borderId="0" xfId="2" applyNumberFormat="1" applyFont="1" applyFill="1" applyAlignment="1">
      <alignment horizontal="left" vertical="center"/>
    </xf>
    <xf numFmtId="8" fontId="21" fillId="5" borderId="0" xfId="2" applyNumberFormat="1" applyFont="1" applyFill="1" applyAlignment="1">
      <alignment horizontal="left" vertical="center"/>
    </xf>
    <xf numFmtId="8" fontId="21" fillId="6" borderId="0" xfId="2" applyNumberFormat="1" applyFont="1" applyFill="1" applyAlignment="1">
      <alignment horizontal="left" vertical="center"/>
    </xf>
    <xf numFmtId="8" fontId="21" fillId="8" borderId="0" xfId="2" applyNumberFormat="1" applyFont="1" applyFill="1" applyAlignment="1">
      <alignment horizontal="left" vertical="center"/>
    </xf>
    <xf numFmtId="8" fontId="21" fillId="9" borderId="0" xfId="2" applyNumberFormat="1" applyFont="1" applyFill="1" applyAlignment="1">
      <alignment horizontal="left" vertical="center"/>
    </xf>
    <xf numFmtId="6" fontId="19" fillId="0" borderId="6" xfId="2" applyNumberFormat="1" applyFont="1" applyBorder="1" applyAlignment="1">
      <alignment horizontal="left" vertical="center"/>
    </xf>
    <xf numFmtId="6" fontId="19" fillId="0" borderId="0" xfId="2" applyNumberFormat="1" applyFont="1" applyAlignment="1">
      <alignment horizontal="right" vertical="center"/>
    </xf>
    <xf numFmtId="6" fontId="21" fillId="0" borderId="0" xfId="4" applyNumberFormat="1" applyFont="1" applyFill="1" applyBorder="1" applyAlignment="1">
      <alignment horizontal="left" vertical="center"/>
    </xf>
    <xf numFmtId="6" fontId="23" fillId="2" borderId="5" xfId="4" applyNumberFormat="1" applyFont="1" applyFill="1" applyBorder="1" applyAlignment="1">
      <alignment horizontal="center" vertical="center"/>
    </xf>
    <xf numFmtId="6" fontId="21" fillId="2" borderId="5" xfId="4" applyNumberFormat="1" applyFont="1" applyFill="1" applyBorder="1" applyAlignment="1">
      <alignment horizontal="left" vertical="center"/>
    </xf>
    <xf numFmtId="8" fontId="21" fillId="2" borderId="5" xfId="4" applyNumberFormat="1" applyFont="1" applyFill="1" applyBorder="1" applyAlignment="1">
      <alignment horizontal="left" vertical="center"/>
    </xf>
    <xf numFmtId="9" fontId="21" fillId="2" borderId="5" xfId="3" applyNumberFormat="1" applyFont="1" applyFill="1" applyBorder="1" applyAlignment="1">
      <alignment horizontal="left" vertical="center"/>
    </xf>
    <xf numFmtId="6" fontId="23" fillId="3" borderId="5" xfId="4" applyNumberFormat="1" applyFont="1" applyFill="1" applyBorder="1" applyAlignment="1">
      <alignment horizontal="center" vertical="center"/>
    </xf>
    <xf numFmtId="6" fontId="21" fillId="3" borderId="5" xfId="4" applyNumberFormat="1" applyFont="1" applyFill="1" applyBorder="1" applyAlignment="1">
      <alignment horizontal="left" vertical="center"/>
    </xf>
    <xf numFmtId="8" fontId="21" fillId="3" borderId="5" xfId="4" applyNumberFormat="1" applyFont="1" applyFill="1" applyBorder="1" applyAlignment="1">
      <alignment horizontal="left" vertical="center"/>
    </xf>
    <xf numFmtId="9" fontId="21" fillId="3" borderId="5" xfId="3" applyNumberFormat="1" applyFont="1" applyFill="1" applyBorder="1" applyAlignment="1">
      <alignment horizontal="left" vertical="center"/>
    </xf>
    <xf numFmtId="6" fontId="23" fillId="4" borderId="5" xfId="4" applyNumberFormat="1" applyFont="1" applyFill="1" applyBorder="1" applyAlignment="1">
      <alignment horizontal="center" vertical="center"/>
    </xf>
    <xf numFmtId="6" fontId="21" fillId="4" borderId="5" xfId="4" applyNumberFormat="1" applyFont="1" applyFill="1" applyBorder="1" applyAlignment="1">
      <alignment horizontal="left" vertical="center"/>
    </xf>
    <xf numFmtId="8" fontId="21" fillId="4" borderId="5" xfId="4" applyNumberFormat="1" applyFont="1" applyFill="1" applyBorder="1" applyAlignment="1">
      <alignment horizontal="left" vertical="center"/>
    </xf>
    <xf numFmtId="9" fontId="21" fillId="4" borderId="5" xfId="3" applyNumberFormat="1" applyFont="1" applyFill="1" applyBorder="1" applyAlignment="1">
      <alignment horizontal="left" vertical="center"/>
    </xf>
    <xf numFmtId="6" fontId="23" fillId="5" borderId="5" xfId="4" applyNumberFormat="1" applyFont="1" applyFill="1" applyBorder="1" applyAlignment="1">
      <alignment horizontal="center" vertical="center"/>
    </xf>
    <xf numFmtId="6" fontId="21" fillId="5" borderId="5" xfId="4" applyNumberFormat="1" applyFont="1" applyFill="1" applyBorder="1" applyAlignment="1">
      <alignment horizontal="left" vertical="center"/>
    </xf>
    <xf numFmtId="8" fontId="21" fillId="5" borderId="5" xfId="4" applyNumberFormat="1" applyFont="1" applyFill="1" applyBorder="1" applyAlignment="1">
      <alignment horizontal="left" vertical="center"/>
    </xf>
    <xf numFmtId="9" fontId="21" fillId="5" borderId="5" xfId="3" applyNumberFormat="1" applyFont="1" applyFill="1" applyBorder="1" applyAlignment="1">
      <alignment horizontal="left" vertical="center"/>
    </xf>
    <xf numFmtId="6" fontId="23" fillId="6" borderId="5" xfId="4" applyNumberFormat="1" applyFont="1" applyFill="1" applyBorder="1" applyAlignment="1">
      <alignment horizontal="center" vertical="center"/>
    </xf>
    <xf numFmtId="6" fontId="21" fillId="6" borderId="5" xfId="4" applyNumberFormat="1" applyFont="1" applyFill="1" applyBorder="1" applyAlignment="1">
      <alignment horizontal="left" vertical="center"/>
    </xf>
    <xf numFmtId="8" fontId="21" fillId="6" borderId="5" xfId="4" applyNumberFormat="1" applyFont="1" applyFill="1" applyBorder="1" applyAlignment="1">
      <alignment horizontal="left" vertical="center"/>
    </xf>
    <xf numFmtId="9" fontId="21" fillId="6" borderId="5" xfId="3" applyNumberFormat="1" applyFont="1" applyFill="1" applyBorder="1" applyAlignment="1">
      <alignment horizontal="left" vertical="center"/>
    </xf>
    <xf numFmtId="6" fontId="23" fillId="7" borderId="5" xfId="4" applyNumberFormat="1" applyFont="1" applyFill="1" applyBorder="1" applyAlignment="1">
      <alignment horizontal="center" vertical="center"/>
    </xf>
    <xf numFmtId="6" fontId="21" fillId="7" borderId="5" xfId="4" applyNumberFormat="1" applyFont="1" applyFill="1" applyBorder="1" applyAlignment="1">
      <alignment horizontal="left" vertical="center"/>
    </xf>
    <xf numFmtId="9" fontId="21" fillId="7" borderId="5" xfId="3" applyNumberFormat="1" applyFont="1" applyFill="1" applyBorder="1" applyAlignment="1">
      <alignment horizontal="left" vertical="center"/>
    </xf>
    <xf numFmtId="6" fontId="21" fillId="7" borderId="0" xfId="4" applyNumberFormat="1" applyFont="1" applyFill="1" applyBorder="1" applyAlignment="1">
      <alignment horizontal="left" vertical="center"/>
    </xf>
    <xf numFmtId="6" fontId="23" fillId="8" borderId="5" xfId="4" applyNumberFormat="1" applyFont="1" applyFill="1" applyBorder="1" applyAlignment="1">
      <alignment horizontal="center" vertical="center"/>
    </xf>
    <xf numFmtId="6" fontId="21" fillId="8" borderId="5" xfId="4" applyNumberFormat="1" applyFont="1" applyFill="1" applyBorder="1" applyAlignment="1">
      <alignment horizontal="left" vertical="center"/>
    </xf>
    <xf numFmtId="8" fontId="21" fillId="8" borderId="5" xfId="4" applyNumberFormat="1" applyFont="1" applyFill="1" applyBorder="1" applyAlignment="1">
      <alignment horizontal="left" vertical="center"/>
    </xf>
    <xf numFmtId="9" fontId="21" fillId="8" borderId="5" xfId="3" applyNumberFormat="1" applyFont="1" applyFill="1" applyBorder="1" applyAlignment="1">
      <alignment horizontal="left" vertical="center"/>
    </xf>
    <xf numFmtId="6" fontId="23" fillId="9" borderId="5" xfId="4" applyNumberFormat="1" applyFont="1" applyFill="1" applyBorder="1" applyAlignment="1">
      <alignment horizontal="center" vertical="center"/>
    </xf>
    <xf numFmtId="6" fontId="21" fillId="9" borderId="5" xfId="4" applyNumberFormat="1" applyFont="1" applyFill="1" applyBorder="1" applyAlignment="1">
      <alignment horizontal="left" vertical="center"/>
    </xf>
    <xf numFmtId="8" fontId="21" fillId="9" borderId="5" xfId="4" applyNumberFormat="1" applyFont="1" applyFill="1" applyBorder="1" applyAlignment="1">
      <alignment horizontal="left" vertical="center"/>
    </xf>
    <xf numFmtId="9" fontId="21" fillId="9" borderId="5" xfId="3" applyNumberFormat="1" applyFont="1" applyFill="1" applyBorder="1" applyAlignment="1">
      <alignment horizontal="left" vertical="center"/>
    </xf>
    <xf numFmtId="6" fontId="21" fillId="0" borderId="6" xfId="2" applyNumberFormat="1" applyFont="1" applyBorder="1" applyAlignment="1">
      <alignment horizontal="left" vertical="center"/>
    </xf>
    <xf numFmtId="6" fontId="21" fillId="0" borderId="0" xfId="2" applyNumberFormat="1" applyFont="1" applyAlignment="1">
      <alignment horizontal="right" vertical="center"/>
    </xf>
    <xf numFmtId="6" fontId="21" fillId="2" borderId="0" xfId="4" applyNumberFormat="1" applyFont="1" applyFill="1" applyBorder="1" applyAlignment="1">
      <alignment horizontal="center" vertical="center"/>
    </xf>
    <xf numFmtId="6" fontId="21" fillId="2" borderId="0" xfId="4" applyNumberFormat="1" applyFont="1" applyFill="1" applyBorder="1" applyAlignment="1">
      <alignment horizontal="left" vertical="center"/>
    </xf>
    <xf numFmtId="8" fontId="21" fillId="2" borderId="0" xfId="4" applyNumberFormat="1" applyFont="1" applyFill="1" applyBorder="1" applyAlignment="1">
      <alignment horizontal="left" vertical="center"/>
    </xf>
    <xf numFmtId="168" fontId="21" fillId="2" borderId="0" xfId="4" applyNumberFormat="1" applyFont="1" applyFill="1" applyBorder="1" applyAlignment="1">
      <alignment horizontal="left" vertical="center"/>
    </xf>
    <xf numFmtId="6" fontId="21" fillId="3" borderId="0" xfId="4" applyNumberFormat="1" applyFont="1" applyFill="1" applyBorder="1" applyAlignment="1">
      <alignment horizontal="center" vertical="center"/>
    </xf>
    <xf numFmtId="6" fontId="21" fillId="3" borderId="0" xfId="4" applyNumberFormat="1" applyFont="1" applyFill="1" applyBorder="1" applyAlignment="1">
      <alignment horizontal="left" vertical="center"/>
    </xf>
    <xf numFmtId="8" fontId="21" fillId="3" borderId="0" xfId="4" applyNumberFormat="1" applyFont="1" applyFill="1" applyBorder="1" applyAlignment="1">
      <alignment horizontal="left" vertical="center"/>
    </xf>
    <xf numFmtId="168" fontId="21" fillId="3" borderId="0" xfId="4" applyNumberFormat="1" applyFont="1" applyFill="1" applyBorder="1" applyAlignment="1">
      <alignment horizontal="left" vertical="center"/>
    </xf>
    <xf numFmtId="6" fontId="21" fillId="4" borderId="0" xfId="4" applyNumberFormat="1" applyFont="1" applyFill="1" applyBorder="1" applyAlignment="1">
      <alignment horizontal="center" vertical="center"/>
    </xf>
    <xf numFmtId="6" fontId="21" fillId="4" borderId="0" xfId="4" applyNumberFormat="1" applyFont="1" applyFill="1" applyBorder="1" applyAlignment="1">
      <alignment horizontal="left" vertical="center"/>
    </xf>
    <xf numFmtId="8" fontId="21" fillId="4" borderId="0" xfId="4" applyNumberFormat="1" applyFont="1" applyFill="1" applyBorder="1" applyAlignment="1">
      <alignment horizontal="left" vertical="center"/>
    </xf>
    <xf numFmtId="168" fontId="21" fillId="4" borderId="0" xfId="4" applyNumberFormat="1" applyFont="1" applyFill="1" applyBorder="1" applyAlignment="1">
      <alignment horizontal="left" vertical="center"/>
    </xf>
    <xf numFmtId="6" fontId="21" fillId="5" borderId="0" xfId="4" applyNumberFormat="1" applyFont="1" applyFill="1" applyBorder="1" applyAlignment="1">
      <alignment horizontal="center" vertical="center"/>
    </xf>
    <xf numFmtId="6" fontId="21" fillId="5" borderId="0" xfId="4" applyNumberFormat="1" applyFont="1" applyFill="1" applyBorder="1" applyAlignment="1">
      <alignment horizontal="left" vertical="center"/>
    </xf>
    <xf numFmtId="8" fontId="21" fillId="5" borderId="0" xfId="4" applyNumberFormat="1" applyFont="1" applyFill="1" applyBorder="1" applyAlignment="1">
      <alignment horizontal="left" vertical="center"/>
    </xf>
    <xf numFmtId="168" fontId="21" fillId="5" borderId="0" xfId="4" applyNumberFormat="1" applyFont="1" applyFill="1" applyBorder="1" applyAlignment="1">
      <alignment horizontal="left" vertical="center"/>
    </xf>
    <xf numFmtId="6" fontId="21" fillId="6" borderId="0" xfId="4" applyNumberFormat="1" applyFont="1" applyFill="1" applyBorder="1" applyAlignment="1">
      <alignment horizontal="center" vertical="center"/>
    </xf>
    <xf numFmtId="6" fontId="21" fillId="6" borderId="0" xfId="4" applyNumberFormat="1" applyFont="1" applyFill="1" applyBorder="1" applyAlignment="1">
      <alignment horizontal="left" vertical="center"/>
    </xf>
    <xf numFmtId="8" fontId="21" fillId="6" borderId="0" xfId="4" applyNumberFormat="1" applyFont="1" applyFill="1" applyBorder="1" applyAlignment="1">
      <alignment horizontal="left" vertical="center"/>
    </xf>
    <xf numFmtId="168" fontId="21" fillId="6" borderId="0" xfId="4" applyNumberFormat="1" applyFont="1" applyFill="1" applyBorder="1" applyAlignment="1">
      <alignment horizontal="left" vertical="center"/>
    </xf>
    <xf numFmtId="6" fontId="21" fillId="7" borderId="0" xfId="4" applyNumberFormat="1" applyFont="1" applyFill="1" applyBorder="1" applyAlignment="1">
      <alignment horizontal="center" vertical="center"/>
    </xf>
    <xf numFmtId="168" fontId="21" fillId="7" borderId="0" xfId="4" applyNumberFormat="1" applyFont="1" applyFill="1" applyBorder="1" applyAlignment="1">
      <alignment horizontal="left" vertical="center"/>
    </xf>
    <xf numFmtId="6" fontId="21" fillId="8" borderId="0" xfId="4" applyNumberFormat="1" applyFont="1" applyFill="1" applyBorder="1" applyAlignment="1">
      <alignment horizontal="center" vertical="center"/>
    </xf>
    <xf numFmtId="6" fontId="21" fillId="8" borderId="0" xfId="4" applyNumberFormat="1" applyFont="1" applyFill="1" applyBorder="1" applyAlignment="1">
      <alignment horizontal="left" vertical="center"/>
    </xf>
    <xf numFmtId="8" fontId="21" fillId="8" borderId="0" xfId="4" applyNumberFormat="1" applyFont="1" applyFill="1" applyBorder="1" applyAlignment="1">
      <alignment horizontal="left" vertical="center"/>
    </xf>
    <xf numFmtId="168" fontId="21" fillId="8" borderId="0" xfId="4" applyNumberFormat="1" applyFont="1" applyFill="1" applyBorder="1" applyAlignment="1">
      <alignment horizontal="left" vertical="center"/>
    </xf>
    <xf numFmtId="6" fontId="21" fillId="9" borderId="0" xfId="4" applyNumberFormat="1" applyFont="1" applyFill="1" applyBorder="1" applyAlignment="1">
      <alignment horizontal="center" vertical="center"/>
    </xf>
    <xf numFmtId="6" fontId="21" fillId="9" borderId="0" xfId="4" applyNumberFormat="1" applyFont="1" applyFill="1" applyBorder="1" applyAlignment="1">
      <alignment horizontal="left" vertical="center"/>
    </xf>
    <xf numFmtId="8" fontId="21" fillId="9" borderId="0" xfId="4" applyNumberFormat="1" applyFont="1" applyFill="1" applyBorder="1" applyAlignment="1">
      <alignment horizontal="left" vertical="center"/>
    </xf>
    <xf numFmtId="168" fontId="21" fillId="9" borderId="0" xfId="4" applyNumberFormat="1" applyFont="1" applyFill="1" applyBorder="1" applyAlignment="1">
      <alignment horizontal="left" vertical="center"/>
    </xf>
    <xf numFmtId="6" fontId="18" fillId="2" borderId="0" xfId="4" applyNumberFormat="1" applyFont="1" applyFill="1" applyBorder="1" applyAlignment="1">
      <alignment horizontal="center" vertical="center"/>
    </xf>
    <xf numFmtId="168" fontId="20" fillId="2" borderId="0" xfId="2" applyNumberFormat="1" applyFont="1" applyFill="1" applyAlignment="1">
      <alignment horizontal="left" vertical="center"/>
    </xf>
    <xf numFmtId="6" fontId="18" fillId="3" borderId="0" xfId="4" applyNumberFormat="1" applyFont="1" applyFill="1" applyBorder="1" applyAlignment="1">
      <alignment horizontal="center" vertical="center"/>
    </xf>
    <xf numFmtId="168" fontId="20" fillId="3" borderId="0" xfId="2" applyNumberFormat="1" applyFont="1" applyFill="1" applyAlignment="1">
      <alignment horizontal="left" vertical="center"/>
    </xf>
    <xf numFmtId="6" fontId="18" fillId="4" borderId="0" xfId="4" applyNumberFormat="1" applyFont="1" applyFill="1" applyBorder="1" applyAlignment="1">
      <alignment horizontal="center" vertical="center"/>
    </xf>
    <xf numFmtId="168" fontId="20" fillId="4" borderId="0" xfId="2" applyNumberFormat="1" applyFont="1" applyFill="1" applyAlignment="1">
      <alignment horizontal="left" vertical="center"/>
    </xf>
    <xf numFmtId="6" fontId="18" fillId="5" borderId="0" xfId="4" applyNumberFormat="1" applyFont="1" applyFill="1" applyBorder="1" applyAlignment="1">
      <alignment horizontal="center" vertical="center"/>
    </xf>
    <xf numFmtId="168" fontId="20" fillId="5" borderId="0" xfId="2" applyNumberFormat="1" applyFont="1" applyFill="1" applyAlignment="1">
      <alignment horizontal="left" vertical="center"/>
    </xf>
    <xf numFmtId="6" fontId="18" fillId="6" borderId="0" xfId="4" applyNumberFormat="1" applyFont="1" applyFill="1" applyBorder="1" applyAlignment="1">
      <alignment horizontal="center" vertical="center"/>
    </xf>
    <xf numFmtId="168" fontId="20" fillId="6" borderId="0" xfId="2" applyNumberFormat="1" applyFont="1" applyFill="1" applyAlignment="1">
      <alignment horizontal="left" vertical="center"/>
    </xf>
    <xf numFmtId="6" fontId="18" fillId="7" borderId="0" xfId="4" applyNumberFormat="1" applyFont="1" applyFill="1" applyBorder="1" applyAlignment="1">
      <alignment horizontal="center" vertical="center"/>
    </xf>
    <xf numFmtId="168" fontId="20" fillId="7" borderId="0" xfId="2" applyNumberFormat="1" applyFont="1" applyFill="1" applyAlignment="1">
      <alignment horizontal="left" vertical="center"/>
    </xf>
    <xf numFmtId="6" fontId="18" fillId="8" borderId="0" xfId="4" applyNumberFormat="1" applyFont="1" applyFill="1" applyBorder="1" applyAlignment="1">
      <alignment horizontal="center" vertical="center"/>
    </xf>
    <xf numFmtId="168" fontId="20" fillId="8" borderId="0" xfId="2" applyNumberFormat="1" applyFont="1" applyFill="1" applyAlignment="1">
      <alignment horizontal="left" vertical="center"/>
    </xf>
    <xf numFmtId="6" fontId="18" fillId="9" borderId="0" xfId="4" applyNumberFormat="1" applyFont="1" applyFill="1" applyBorder="1" applyAlignment="1">
      <alignment horizontal="center" vertical="center"/>
    </xf>
    <xf numFmtId="168" fontId="20" fillId="9" borderId="0" xfId="2" applyNumberFormat="1" applyFont="1" applyFill="1" applyAlignment="1">
      <alignment horizontal="left" vertical="center"/>
    </xf>
    <xf numFmtId="6" fontId="24" fillId="0" borderId="0" xfId="2" applyNumberFormat="1" applyFont="1" applyAlignment="1">
      <alignment horizontal="left" vertical="center"/>
    </xf>
    <xf numFmtId="166" fontId="20" fillId="2" borderId="0" xfId="3" applyNumberFormat="1" applyFont="1" applyFill="1" applyBorder="1" applyAlignment="1">
      <alignment horizontal="left" vertical="center"/>
    </xf>
    <xf numFmtId="166" fontId="20" fillId="3" borderId="0" xfId="3" applyNumberFormat="1" applyFont="1" applyFill="1" applyBorder="1" applyAlignment="1">
      <alignment horizontal="left" vertical="center"/>
    </xf>
    <xf numFmtId="166" fontId="20" fillId="4" borderId="0" xfId="3" applyNumberFormat="1" applyFont="1" applyFill="1" applyBorder="1" applyAlignment="1">
      <alignment horizontal="left" vertical="center"/>
    </xf>
    <xf numFmtId="166" fontId="20" fillId="5" borderId="0" xfId="3" applyNumberFormat="1" applyFont="1" applyFill="1" applyBorder="1" applyAlignment="1">
      <alignment horizontal="left" vertical="center"/>
    </xf>
    <xf numFmtId="166" fontId="20" fillId="6" borderId="0" xfId="3" applyNumberFormat="1" applyFont="1" applyFill="1" applyBorder="1" applyAlignment="1">
      <alignment horizontal="left" vertical="center"/>
    </xf>
    <xf numFmtId="166" fontId="20" fillId="7" borderId="0" xfId="3" applyNumberFormat="1" applyFont="1" applyFill="1" applyBorder="1" applyAlignment="1">
      <alignment horizontal="left" vertical="center"/>
    </xf>
    <xf numFmtId="166" fontId="20" fillId="8" borderId="0" xfId="3" applyNumberFormat="1" applyFont="1" applyFill="1" applyBorder="1" applyAlignment="1">
      <alignment horizontal="left" vertical="center"/>
    </xf>
    <xf numFmtId="166" fontId="20" fillId="9" borderId="0" xfId="3" applyNumberFormat="1" applyFont="1" applyFill="1" applyBorder="1" applyAlignment="1">
      <alignment horizontal="left" vertical="center"/>
    </xf>
    <xf numFmtId="6" fontId="22" fillId="3" borderId="0" xfId="4" applyNumberFormat="1" applyFont="1" applyFill="1" applyBorder="1" applyAlignment="1">
      <alignment horizontal="center" vertical="center"/>
    </xf>
    <xf numFmtId="6" fontId="22" fillId="9" borderId="0" xfId="4" applyNumberFormat="1" applyFont="1" applyFill="1" applyBorder="1" applyAlignment="1">
      <alignment horizontal="center" vertical="center"/>
    </xf>
    <xf numFmtId="6" fontId="21" fillId="2" borderId="5" xfId="4" applyNumberFormat="1" applyFont="1" applyFill="1" applyBorder="1" applyAlignment="1">
      <alignment horizontal="center" vertical="center"/>
    </xf>
    <xf numFmtId="6" fontId="21" fillId="2" borderId="5" xfId="2" applyNumberFormat="1" applyFont="1" applyFill="1" applyBorder="1" applyAlignment="1">
      <alignment horizontal="left" vertical="center"/>
    </xf>
    <xf numFmtId="8" fontId="21" fillId="2" borderId="5" xfId="2" applyNumberFormat="1" applyFont="1" applyFill="1" applyBorder="1" applyAlignment="1">
      <alignment horizontal="left" vertical="center"/>
    </xf>
    <xf numFmtId="166" fontId="21" fillId="2" borderId="5" xfId="3" applyNumberFormat="1" applyFont="1" applyFill="1" applyBorder="1" applyAlignment="1">
      <alignment horizontal="left" vertical="center"/>
    </xf>
    <xf numFmtId="6" fontId="21" fillId="3" borderId="5" xfId="4" applyNumberFormat="1" applyFont="1" applyFill="1" applyBorder="1" applyAlignment="1">
      <alignment horizontal="center" vertical="center"/>
    </xf>
    <xf numFmtId="6" fontId="21" fillId="3" borderId="5" xfId="2" applyNumberFormat="1" applyFont="1" applyFill="1" applyBorder="1" applyAlignment="1">
      <alignment horizontal="left" vertical="center"/>
    </xf>
    <xf numFmtId="8" fontId="21" fillId="3" borderId="5" xfId="2" applyNumberFormat="1" applyFont="1" applyFill="1" applyBorder="1" applyAlignment="1">
      <alignment horizontal="left" vertical="center"/>
    </xf>
    <xf numFmtId="166" fontId="21" fillId="3" borderId="5" xfId="3" applyNumberFormat="1" applyFont="1" applyFill="1" applyBorder="1" applyAlignment="1">
      <alignment horizontal="left" vertical="center"/>
    </xf>
    <xf numFmtId="6" fontId="21" fillId="4" borderId="5" xfId="4" applyNumberFormat="1" applyFont="1" applyFill="1" applyBorder="1" applyAlignment="1">
      <alignment horizontal="center" vertical="center"/>
    </xf>
    <xf numFmtId="6" fontId="21" fillId="4" borderId="5" xfId="2" applyNumberFormat="1" applyFont="1" applyFill="1" applyBorder="1" applyAlignment="1">
      <alignment horizontal="left" vertical="center"/>
    </xf>
    <xf numFmtId="8" fontId="21" fillId="4" borderId="5" xfId="2" applyNumberFormat="1" applyFont="1" applyFill="1" applyBorder="1" applyAlignment="1">
      <alignment horizontal="left" vertical="center"/>
    </xf>
    <xf numFmtId="166" fontId="21" fillId="4" borderId="5" xfId="3" applyNumberFormat="1" applyFont="1" applyFill="1" applyBorder="1" applyAlignment="1">
      <alignment horizontal="left" vertical="center"/>
    </xf>
    <xf numFmtId="6" fontId="21" fillId="5" borderId="5" xfId="4" applyNumberFormat="1" applyFont="1" applyFill="1" applyBorder="1" applyAlignment="1">
      <alignment horizontal="center" vertical="center"/>
    </xf>
    <xf numFmtId="6" fontId="21" fillId="5" borderId="5" xfId="2" applyNumberFormat="1" applyFont="1" applyFill="1" applyBorder="1" applyAlignment="1">
      <alignment horizontal="left" vertical="center"/>
    </xf>
    <xf numFmtId="8" fontId="21" fillId="5" borderId="5" xfId="2" applyNumberFormat="1" applyFont="1" applyFill="1" applyBorder="1" applyAlignment="1">
      <alignment horizontal="left" vertical="center"/>
    </xf>
    <xf numFmtId="166" fontId="21" fillId="5" borderId="5" xfId="3" applyNumberFormat="1" applyFont="1" applyFill="1" applyBorder="1" applyAlignment="1">
      <alignment horizontal="left" vertical="center"/>
    </xf>
    <xf numFmtId="6" fontId="21" fillId="6" borderId="5" xfId="4" applyNumberFormat="1" applyFont="1" applyFill="1" applyBorder="1" applyAlignment="1">
      <alignment horizontal="center" vertical="center"/>
    </xf>
    <xf numFmtId="6" fontId="21" fillId="6" borderId="5" xfId="2" applyNumberFormat="1" applyFont="1" applyFill="1" applyBorder="1" applyAlignment="1">
      <alignment horizontal="left" vertical="center"/>
    </xf>
    <xf numFmtId="8" fontId="21" fillId="6" borderId="5" xfId="2" applyNumberFormat="1" applyFont="1" applyFill="1" applyBorder="1" applyAlignment="1">
      <alignment horizontal="left" vertical="center"/>
    </xf>
    <xf numFmtId="166" fontId="21" fillId="6" borderId="5" xfId="3" applyNumberFormat="1" applyFont="1" applyFill="1" applyBorder="1" applyAlignment="1">
      <alignment horizontal="left" vertical="center"/>
    </xf>
    <xf numFmtId="6" fontId="21" fillId="7" borderId="5" xfId="4" applyNumberFormat="1" applyFont="1" applyFill="1" applyBorder="1" applyAlignment="1">
      <alignment horizontal="center" vertical="center"/>
    </xf>
    <xf numFmtId="6" fontId="21" fillId="7" borderId="5" xfId="2" applyNumberFormat="1" applyFont="1" applyFill="1" applyBorder="1" applyAlignment="1">
      <alignment horizontal="left" vertical="center"/>
    </xf>
    <xf numFmtId="166" fontId="21" fillId="7" borderId="5" xfId="3" applyNumberFormat="1" applyFont="1" applyFill="1" applyBorder="1" applyAlignment="1">
      <alignment horizontal="left" vertical="center"/>
    </xf>
    <xf numFmtId="6" fontId="21" fillId="8" borderId="5" xfId="4" applyNumberFormat="1" applyFont="1" applyFill="1" applyBorder="1" applyAlignment="1">
      <alignment horizontal="center" vertical="center"/>
    </xf>
    <xf numFmtId="6" fontId="21" fillId="8" borderId="5" xfId="2" applyNumberFormat="1" applyFont="1" applyFill="1" applyBorder="1" applyAlignment="1">
      <alignment horizontal="left" vertical="center"/>
    </xf>
    <xf numFmtId="8" fontId="21" fillId="8" borderId="5" xfId="2" applyNumberFormat="1" applyFont="1" applyFill="1" applyBorder="1" applyAlignment="1">
      <alignment horizontal="left" vertical="center"/>
    </xf>
    <xf numFmtId="166" fontId="21" fillId="8" borderId="5" xfId="3" applyNumberFormat="1" applyFont="1" applyFill="1" applyBorder="1" applyAlignment="1">
      <alignment horizontal="left" vertical="center"/>
    </xf>
    <xf numFmtId="6" fontId="21" fillId="9" borderId="5" xfId="4" applyNumberFormat="1" applyFont="1" applyFill="1" applyBorder="1" applyAlignment="1">
      <alignment horizontal="center" vertical="center"/>
    </xf>
    <xf numFmtId="6" fontId="21" fillId="9" borderId="5" xfId="2" applyNumberFormat="1" applyFont="1" applyFill="1" applyBorder="1" applyAlignment="1">
      <alignment horizontal="left" vertical="center"/>
    </xf>
    <xf numFmtId="8" fontId="21" fillId="9" borderId="5" xfId="2" applyNumberFormat="1" applyFont="1" applyFill="1" applyBorder="1" applyAlignment="1">
      <alignment horizontal="left" vertical="center"/>
    </xf>
    <xf numFmtId="166" fontId="21" fillId="9" borderId="5" xfId="3" applyNumberFormat="1" applyFont="1" applyFill="1" applyBorder="1" applyAlignment="1">
      <alignment horizontal="left" vertical="center"/>
    </xf>
    <xf numFmtId="168" fontId="20" fillId="0" borderId="0" xfId="3" applyNumberFormat="1" applyFont="1" applyBorder="1" applyAlignment="1">
      <alignment horizontal="left" vertical="center"/>
    </xf>
    <xf numFmtId="6" fontId="20" fillId="0" borderId="0" xfId="2" applyNumberFormat="1" applyFont="1" applyAlignment="1">
      <alignment horizontal="right" vertical="center"/>
    </xf>
    <xf numFmtId="6" fontId="20" fillId="0" borderId="6" xfId="2" applyNumberFormat="1" applyFont="1" applyBorder="1" applyAlignment="1">
      <alignment horizontal="right" vertical="center"/>
    </xf>
    <xf numFmtId="6" fontId="20" fillId="0" borderId="0" xfId="2" applyNumberFormat="1" applyFont="1" applyAlignment="1">
      <alignment horizontal="right" vertical="top"/>
    </xf>
    <xf numFmtId="6" fontId="20" fillId="0" borderId="0" xfId="3" applyNumberFormat="1" applyFont="1" applyBorder="1" applyAlignment="1">
      <alignment horizontal="left" vertical="center"/>
    </xf>
    <xf numFmtId="6" fontId="20" fillId="2" borderId="0" xfId="3" applyNumberFormat="1" applyFont="1" applyFill="1" applyBorder="1" applyAlignment="1">
      <alignment horizontal="center" vertical="top"/>
    </xf>
    <xf numFmtId="6" fontId="20" fillId="2" borderId="0" xfId="3" applyNumberFormat="1" applyFont="1" applyFill="1" applyBorder="1" applyAlignment="1">
      <alignment horizontal="left" vertical="center"/>
    </xf>
    <xf numFmtId="8" fontId="20" fillId="2" borderId="0" xfId="3" applyNumberFormat="1" applyFont="1" applyFill="1" applyBorder="1" applyAlignment="1">
      <alignment horizontal="left" vertical="center"/>
    </xf>
    <xf numFmtId="6" fontId="20" fillId="3" borderId="0" xfId="3" applyNumberFormat="1" applyFont="1" applyFill="1" applyBorder="1" applyAlignment="1">
      <alignment horizontal="center" vertical="top"/>
    </xf>
    <xf numFmtId="6" fontId="20" fillId="3" borderId="0" xfId="3" applyNumberFormat="1" applyFont="1" applyFill="1" applyBorder="1" applyAlignment="1">
      <alignment horizontal="left" vertical="center"/>
    </xf>
    <xf numFmtId="8" fontId="20" fillId="3" borderId="0" xfId="3" applyNumberFormat="1" applyFont="1" applyFill="1" applyBorder="1" applyAlignment="1">
      <alignment horizontal="left" vertical="center"/>
    </xf>
    <xf numFmtId="6" fontId="20" fillId="4" borderId="0" xfId="3" applyNumberFormat="1" applyFont="1" applyFill="1" applyBorder="1" applyAlignment="1">
      <alignment horizontal="center" vertical="top"/>
    </xf>
    <xf numFmtId="6" fontId="20" fillId="4" borderId="0" xfId="3" applyNumberFormat="1" applyFont="1" applyFill="1" applyBorder="1" applyAlignment="1">
      <alignment horizontal="left" vertical="center"/>
    </xf>
    <xf numFmtId="8" fontId="20" fillId="4" borderId="0" xfId="3" applyNumberFormat="1" applyFont="1" applyFill="1" applyBorder="1" applyAlignment="1">
      <alignment horizontal="left" vertical="center"/>
    </xf>
    <xf numFmtId="6" fontId="20" fillId="5" borderId="0" xfId="3" applyNumberFormat="1" applyFont="1" applyFill="1" applyBorder="1" applyAlignment="1">
      <alignment horizontal="center" vertical="top"/>
    </xf>
    <xf numFmtId="6" fontId="20" fillId="5" borderId="0" xfId="3" applyNumberFormat="1" applyFont="1" applyFill="1" applyBorder="1" applyAlignment="1">
      <alignment horizontal="left" vertical="center"/>
    </xf>
    <xf numFmtId="8" fontId="20" fillId="5" borderId="0" xfId="3" applyNumberFormat="1" applyFont="1" applyFill="1" applyBorder="1" applyAlignment="1">
      <alignment horizontal="left" vertical="center"/>
    </xf>
    <xf numFmtId="6" fontId="20" fillId="6" borderId="0" xfId="3" applyNumberFormat="1" applyFont="1" applyFill="1" applyBorder="1" applyAlignment="1">
      <alignment horizontal="center" vertical="top"/>
    </xf>
    <xf numFmtId="6" fontId="20" fillId="6" borderId="0" xfId="3" applyNumberFormat="1" applyFont="1" applyFill="1" applyBorder="1" applyAlignment="1">
      <alignment horizontal="left" vertical="center"/>
    </xf>
    <xf numFmtId="8" fontId="20" fillId="6" borderId="0" xfId="3" applyNumberFormat="1" applyFont="1" applyFill="1" applyBorder="1" applyAlignment="1">
      <alignment horizontal="left" vertical="center"/>
    </xf>
    <xf numFmtId="6" fontId="20" fillId="0" borderId="0" xfId="3" applyNumberFormat="1" applyFont="1" applyFill="1" applyBorder="1" applyAlignment="1">
      <alignment horizontal="left" vertical="center"/>
    </xf>
    <xf numFmtId="6" fontId="20" fillId="7" borderId="0" xfId="3" applyNumberFormat="1" applyFont="1" applyFill="1" applyBorder="1" applyAlignment="1">
      <alignment horizontal="center" vertical="top"/>
    </xf>
    <xf numFmtId="6" fontId="20" fillId="7" borderId="0" xfId="3" applyNumberFormat="1" applyFont="1" applyFill="1" applyBorder="1" applyAlignment="1">
      <alignment horizontal="left" vertical="center"/>
    </xf>
    <xf numFmtId="6" fontId="20" fillId="8" borderId="0" xfId="3" applyNumberFormat="1" applyFont="1" applyFill="1" applyBorder="1" applyAlignment="1">
      <alignment horizontal="center" vertical="top"/>
    </xf>
    <xf numFmtId="6" fontId="20" fillId="8" borderId="0" xfId="3" applyNumberFormat="1" applyFont="1" applyFill="1" applyBorder="1" applyAlignment="1">
      <alignment horizontal="left" vertical="center"/>
    </xf>
    <xf numFmtId="8" fontId="20" fillId="8" borderId="0" xfId="3" applyNumberFormat="1" applyFont="1" applyFill="1" applyBorder="1" applyAlignment="1">
      <alignment horizontal="left" vertical="center"/>
    </xf>
    <xf numFmtId="6" fontId="20" fillId="9" borderId="0" xfId="3" applyNumberFormat="1" applyFont="1" applyFill="1" applyBorder="1" applyAlignment="1">
      <alignment horizontal="center" vertical="top"/>
    </xf>
    <xf numFmtId="6" fontId="20" fillId="9" borderId="0" xfId="3" applyNumberFormat="1" applyFont="1" applyFill="1" applyBorder="1" applyAlignment="1">
      <alignment horizontal="left" vertical="center"/>
    </xf>
    <xf numFmtId="8" fontId="20" fillId="9" borderId="0" xfId="3" applyNumberFormat="1" applyFont="1" applyFill="1" applyBorder="1" applyAlignment="1">
      <alignment horizontal="left" vertical="center"/>
    </xf>
    <xf numFmtId="166" fontId="20" fillId="2" borderId="0" xfId="2" applyNumberFormat="1" applyFont="1" applyFill="1" applyAlignment="1">
      <alignment horizontal="left" vertical="center"/>
    </xf>
    <xf numFmtId="166" fontId="20" fillId="3" borderId="0" xfId="2" applyNumberFormat="1" applyFont="1" applyFill="1" applyAlignment="1">
      <alignment horizontal="left" vertical="center"/>
    </xf>
    <xf numFmtId="166" fontId="20" fillId="4" borderId="0" xfId="2" applyNumberFormat="1" applyFont="1" applyFill="1" applyAlignment="1">
      <alignment horizontal="left" vertical="center"/>
    </xf>
    <xf numFmtId="166" fontId="20" fillId="5" borderId="0" xfId="2" applyNumberFormat="1" applyFont="1" applyFill="1" applyAlignment="1">
      <alignment horizontal="left" vertical="center"/>
    </xf>
    <xf numFmtId="166" fontId="20" fillId="6" borderId="0" xfId="2" applyNumberFormat="1" applyFont="1" applyFill="1" applyAlignment="1">
      <alignment horizontal="left" vertical="center"/>
    </xf>
    <xf numFmtId="166" fontId="20" fillId="7" borderId="0" xfId="2" applyNumberFormat="1" applyFont="1" applyFill="1" applyAlignment="1">
      <alignment horizontal="left" vertical="center"/>
    </xf>
    <xf numFmtId="166" fontId="20" fillId="8" borderId="0" xfId="2" applyNumberFormat="1" applyFont="1" applyFill="1" applyAlignment="1">
      <alignment horizontal="left" vertical="center"/>
    </xf>
    <xf numFmtId="166" fontId="20" fillId="9" borderId="0" xfId="2" applyNumberFormat="1" applyFont="1" applyFill="1" applyAlignment="1">
      <alignment horizontal="left" vertical="center"/>
    </xf>
    <xf numFmtId="6" fontId="18" fillId="0" borderId="0" xfId="2" applyNumberFormat="1" applyFont="1" applyAlignment="1">
      <alignment horizontal="right" vertical="center"/>
    </xf>
    <xf numFmtId="6" fontId="19" fillId="2" borderId="5" xfId="4" applyNumberFormat="1" applyFont="1" applyFill="1" applyBorder="1" applyAlignment="1">
      <alignment horizontal="center" vertical="center"/>
    </xf>
    <xf numFmtId="6" fontId="19" fillId="3" borderId="5" xfId="4" applyNumberFormat="1" applyFont="1" applyFill="1" applyBorder="1" applyAlignment="1">
      <alignment horizontal="center" vertical="center"/>
    </xf>
    <xf numFmtId="6" fontId="19" fillId="4" borderId="5" xfId="4" applyNumberFormat="1" applyFont="1" applyFill="1" applyBorder="1" applyAlignment="1">
      <alignment horizontal="center" vertical="center"/>
    </xf>
    <xf numFmtId="6" fontId="19" fillId="5" borderId="5" xfId="4" applyNumberFormat="1" applyFont="1" applyFill="1" applyBorder="1" applyAlignment="1">
      <alignment horizontal="center" vertical="center"/>
    </xf>
    <xf numFmtId="6" fontId="19" fillId="6" borderId="5" xfId="4" applyNumberFormat="1" applyFont="1" applyFill="1" applyBorder="1" applyAlignment="1">
      <alignment horizontal="center" vertical="center"/>
    </xf>
    <xf numFmtId="6" fontId="19" fillId="7" borderId="5" xfId="4" applyNumberFormat="1" applyFont="1" applyFill="1" applyBorder="1" applyAlignment="1">
      <alignment horizontal="center" vertical="center"/>
    </xf>
    <xf numFmtId="6" fontId="19" fillId="8" borderId="5" xfId="4" applyNumberFormat="1" applyFont="1" applyFill="1" applyBorder="1" applyAlignment="1">
      <alignment horizontal="center" vertical="center"/>
    </xf>
    <xf numFmtId="6" fontId="19" fillId="9" borderId="5" xfId="4" applyNumberFormat="1" applyFont="1" applyFill="1" applyBorder="1" applyAlignment="1">
      <alignment horizontal="center" vertical="center"/>
    </xf>
    <xf numFmtId="168" fontId="20" fillId="0" borderId="0" xfId="3" applyNumberFormat="1" applyFont="1" applyFill="1" applyBorder="1" applyAlignment="1">
      <alignment horizontal="left" vertical="center"/>
    </xf>
    <xf numFmtId="0" fontId="20" fillId="0" borderId="0" xfId="2" applyFont="1" applyAlignment="1">
      <alignment horizontal="centerContinuous"/>
    </xf>
    <xf numFmtId="6" fontId="18" fillId="12" borderId="0" xfId="2" applyNumberFormat="1" applyFont="1" applyFill="1" applyAlignment="1">
      <alignment horizontal="left" vertical="center"/>
    </xf>
    <xf numFmtId="6" fontId="18" fillId="12" borderId="6" xfId="2" applyNumberFormat="1" applyFont="1" applyFill="1" applyBorder="1" applyAlignment="1">
      <alignment horizontal="left" vertical="center"/>
    </xf>
    <xf numFmtId="6" fontId="19" fillId="12" borderId="0" xfId="2" applyNumberFormat="1" applyFont="1" applyFill="1" applyAlignment="1">
      <alignment horizontal="left" vertical="center"/>
    </xf>
    <xf numFmtId="6" fontId="21" fillId="12" borderId="0" xfId="4" applyNumberFormat="1" applyFont="1" applyFill="1" applyBorder="1" applyAlignment="1">
      <alignment horizontal="left" vertical="center"/>
    </xf>
    <xf numFmtId="6" fontId="19" fillId="12" borderId="9" xfId="4" applyNumberFormat="1" applyFont="1" applyFill="1" applyBorder="1" applyAlignment="1">
      <alignment horizontal="center" vertical="center"/>
    </xf>
    <xf numFmtId="6" fontId="21" fillId="12" borderId="9" xfId="4" applyNumberFormat="1" applyFont="1" applyFill="1" applyBorder="1" applyAlignment="1">
      <alignment horizontal="left" vertical="center"/>
    </xf>
    <xf numFmtId="8" fontId="21" fillId="12" borderId="9" xfId="4" applyNumberFormat="1" applyFont="1" applyFill="1" applyBorder="1" applyAlignment="1">
      <alignment horizontal="left" vertical="center"/>
    </xf>
    <xf numFmtId="166" fontId="21" fillId="12" borderId="9" xfId="3" applyNumberFormat="1" applyFont="1" applyFill="1" applyBorder="1" applyAlignment="1">
      <alignment horizontal="left" vertical="center"/>
    </xf>
    <xf numFmtId="9" fontId="20" fillId="0" borderId="0" xfId="3" applyNumberFormat="1" applyFont="1" applyBorder="1" applyAlignment="1">
      <alignment horizontal="left" vertical="center"/>
    </xf>
    <xf numFmtId="6" fontId="19" fillId="0" borderId="6" xfId="2" applyNumberFormat="1" applyFont="1" applyBorder="1" applyAlignment="1">
      <alignment horizontal="center" vertical="center"/>
    </xf>
    <xf numFmtId="9" fontId="25" fillId="0" borderId="6" xfId="3" applyNumberFormat="1" applyFont="1" applyFill="1" applyBorder="1" applyAlignment="1">
      <alignment horizontal="center" vertical="center"/>
    </xf>
    <xf numFmtId="6" fontId="19" fillId="2" borderId="9" xfId="4" applyNumberFormat="1" applyFont="1" applyFill="1" applyBorder="1" applyAlignment="1">
      <alignment horizontal="center" vertical="center"/>
    </xf>
    <xf numFmtId="6" fontId="21" fillId="2" borderId="9" xfId="4" applyNumberFormat="1" applyFont="1" applyFill="1" applyBorder="1" applyAlignment="1">
      <alignment horizontal="left" vertical="center"/>
    </xf>
    <xf numFmtId="8" fontId="21" fillId="2" borderId="9" xfId="4" applyNumberFormat="1" applyFont="1" applyFill="1" applyBorder="1" applyAlignment="1">
      <alignment horizontal="left" vertical="center"/>
    </xf>
    <xf numFmtId="166" fontId="21" fillId="2" borderId="9" xfId="3" applyNumberFormat="1" applyFont="1" applyFill="1" applyBorder="1" applyAlignment="1">
      <alignment horizontal="left" vertical="center"/>
    </xf>
    <xf numFmtId="6" fontId="19" fillId="3" borderId="9" xfId="4" applyNumberFormat="1" applyFont="1" applyFill="1" applyBorder="1" applyAlignment="1">
      <alignment horizontal="center" vertical="center"/>
    </xf>
    <xf numFmtId="6" fontId="21" fillId="3" borderId="9" xfId="4" applyNumberFormat="1" applyFont="1" applyFill="1" applyBorder="1" applyAlignment="1">
      <alignment horizontal="left" vertical="center"/>
    </xf>
    <xf numFmtId="8" fontId="21" fillId="3" borderId="9" xfId="4" applyNumberFormat="1" applyFont="1" applyFill="1" applyBorder="1" applyAlignment="1">
      <alignment horizontal="left" vertical="center"/>
    </xf>
    <xf numFmtId="166" fontId="21" fillId="3" borderId="9" xfId="3" applyNumberFormat="1" applyFont="1" applyFill="1" applyBorder="1" applyAlignment="1">
      <alignment horizontal="left" vertical="center"/>
    </xf>
    <xf numFmtId="6" fontId="19" fillId="4" borderId="9" xfId="4" applyNumberFormat="1" applyFont="1" applyFill="1" applyBorder="1" applyAlignment="1">
      <alignment horizontal="center" vertical="center"/>
    </xf>
    <xf numFmtId="6" fontId="21" fillId="4" borderId="9" xfId="4" applyNumberFormat="1" applyFont="1" applyFill="1" applyBorder="1" applyAlignment="1">
      <alignment horizontal="left" vertical="center"/>
    </xf>
    <xf numFmtId="8" fontId="21" fillId="4" borderId="9" xfId="4" applyNumberFormat="1" applyFont="1" applyFill="1" applyBorder="1" applyAlignment="1">
      <alignment horizontal="left" vertical="center"/>
    </xf>
    <xf numFmtId="166" fontId="21" fillId="4" borderId="9" xfId="3" applyNumberFormat="1" applyFont="1" applyFill="1" applyBorder="1" applyAlignment="1">
      <alignment horizontal="left" vertical="center"/>
    </xf>
    <xf numFmtId="6" fontId="19" fillId="5" borderId="9" xfId="4" applyNumberFormat="1" applyFont="1" applyFill="1" applyBorder="1" applyAlignment="1">
      <alignment horizontal="center" vertical="center"/>
    </xf>
    <xf numFmtId="6" fontId="21" fillId="5" borderId="9" xfId="4" applyNumberFormat="1" applyFont="1" applyFill="1" applyBorder="1" applyAlignment="1">
      <alignment horizontal="left" vertical="center"/>
    </xf>
    <xf numFmtId="8" fontId="21" fillId="5" borderId="9" xfId="4" applyNumberFormat="1" applyFont="1" applyFill="1" applyBorder="1" applyAlignment="1">
      <alignment horizontal="left" vertical="center"/>
    </xf>
    <xf numFmtId="166" fontId="21" fillId="5" borderId="9" xfId="3" applyNumberFormat="1" applyFont="1" applyFill="1" applyBorder="1" applyAlignment="1">
      <alignment horizontal="left" vertical="center"/>
    </xf>
    <xf numFmtId="6" fontId="19" fillId="6" borderId="9" xfId="4" applyNumberFormat="1" applyFont="1" applyFill="1" applyBorder="1" applyAlignment="1">
      <alignment horizontal="center" vertical="center"/>
    </xf>
    <xf numFmtId="6" fontId="21" fillId="6" borderId="9" xfId="4" applyNumberFormat="1" applyFont="1" applyFill="1" applyBorder="1" applyAlignment="1">
      <alignment horizontal="left" vertical="center"/>
    </xf>
    <xf numFmtId="8" fontId="21" fillId="6" borderId="9" xfId="4" applyNumberFormat="1" applyFont="1" applyFill="1" applyBorder="1" applyAlignment="1">
      <alignment horizontal="left" vertical="center"/>
    </xf>
    <xf numFmtId="166" fontId="21" fillId="6" borderId="9" xfId="3" applyNumberFormat="1" applyFont="1" applyFill="1" applyBorder="1" applyAlignment="1">
      <alignment horizontal="left" vertical="center"/>
    </xf>
    <xf numFmtId="6" fontId="19" fillId="7" borderId="9" xfId="4" applyNumberFormat="1" applyFont="1" applyFill="1" applyBorder="1" applyAlignment="1">
      <alignment horizontal="center" vertical="center"/>
    </xf>
    <xf numFmtId="6" fontId="21" fillId="7" borderId="9" xfId="4" applyNumberFormat="1" applyFont="1" applyFill="1" applyBorder="1" applyAlignment="1">
      <alignment horizontal="left" vertical="center"/>
    </xf>
    <xf numFmtId="166" fontId="21" fillId="7" borderId="9" xfId="3" applyNumberFormat="1" applyFont="1" applyFill="1" applyBorder="1" applyAlignment="1">
      <alignment horizontal="left" vertical="center"/>
    </xf>
    <xf numFmtId="6" fontId="19" fillId="8" borderId="9" xfId="4" applyNumberFormat="1" applyFont="1" applyFill="1" applyBorder="1" applyAlignment="1">
      <alignment horizontal="center" vertical="center"/>
    </xf>
    <xf numFmtId="6" fontId="21" fillId="8" borderId="9" xfId="4" applyNumberFormat="1" applyFont="1" applyFill="1" applyBorder="1" applyAlignment="1">
      <alignment horizontal="left" vertical="center"/>
    </xf>
    <xf numFmtId="8" fontId="21" fillId="8" borderId="9" xfId="4" applyNumberFormat="1" applyFont="1" applyFill="1" applyBorder="1" applyAlignment="1">
      <alignment horizontal="left" vertical="center"/>
    </xf>
    <xf numFmtId="166" fontId="21" fillId="8" borderId="9" xfId="3" applyNumberFormat="1" applyFont="1" applyFill="1" applyBorder="1" applyAlignment="1">
      <alignment horizontal="left" vertical="center"/>
    </xf>
    <xf numFmtId="6" fontId="19" fillId="9" borderId="9" xfId="4" applyNumberFormat="1" applyFont="1" applyFill="1" applyBorder="1" applyAlignment="1">
      <alignment horizontal="center" vertical="center"/>
    </xf>
    <xf numFmtId="6" fontId="21" fillId="9" borderId="9" xfId="4" applyNumberFormat="1" applyFont="1" applyFill="1" applyBorder="1" applyAlignment="1">
      <alignment horizontal="left" vertical="center"/>
    </xf>
    <xf numFmtId="8" fontId="21" fillId="9" borderId="9" xfId="4" applyNumberFormat="1" applyFont="1" applyFill="1" applyBorder="1" applyAlignment="1">
      <alignment horizontal="left" vertical="center"/>
    </xf>
    <xf numFmtId="166" fontId="21" fillId="9" borderId="9" xfId="3" applyNumberFormat="1" applyFont="1" applyFill="1" applyBorder="1" applyAlignment="1">
      <alignment horizontal="left" vertical="center"/>
    </xf>
    <xf numFmtId="6" fontId="18" fillId="13" borderId="0" xfId="2" applyNumberFormat="1" applyFont="1" applyFill="1" applyAlignment="1">
      <alignment horizontal="left" vertical="center"/>
    </xf>
    <xf numFmtId="6" fontId="18" fillId="13" borderId="6" xfId="2" applyNumberFormat="1" applyFont="1" applyFill="1" applyBorder="1" applyAlignment="1">
      <alignment horizontal="left" vertical="center"/>
    </xf>
    <xf numFmtId="6" fontId="19" fillId="13" borderId="0" xfId="2" applyNumberFormat="1" applyFont="1" applyFill="1" applyAlignment="1">
      <alignment horizontal="center" vertical="center"/>
    </xf>
    <xf numFmtId="6" fontId="21" fillId="13" borderId="0" xfId="4" applyNumberFormat="1" applyFont="1" applyFill="1" applyBorder="1" applyAlignment="1">
      <alignment horizontal="left" vertical="center"/>
    </xf>
    <xf numFmtId="6" fontId="19" fillId="13" borderId="10" xfId="4" applyNumberFormat="1" applyFont="1" applyFill="1" applyBorder="1" applyAlignment="1">
      <alignment horizontal="center" vertical="center"/>
    </xf>
    <xf numFmtId="6" fontId="21" fillId="13" borderId="10" xfId="4" applyNumberFormat="1" applyFont="1" applyFill="1" applyBorder="1" applyAlignment="1">
      <alignment horizontal="left" vertical="center"/>
    </xf>
    <xf numFmtId="8" fontId="21" fillId="13" borderId="10" xfId="4" applyNumberFormat="1" applyFont="1" applyFill="1" applyBorder="1" applyAlignment="1">
      <alignment horizontal="left" vertical="center"/>
    </xf>
    <xf numFmtId="166" fontId="21" fillId="13" borderId="10" xfId="3" applyNumberFormat="1" applyFont="1" applyFill="1" applyBorder="1" applyAlignment="1">
      <alignment horizontal="left" vertical="center"/>
    </xf>
    <xf numFmtId="6" fontId="20" fillId="0" borderId="0" xfId="2" applyNumberFormat="1" applyFont="1" applyAlignment="1">
      <alignment horizontal="center" vertical="center"/>
    </xf>
    <xf numFmtId="6" fontId="19" fillId="2" borderId="0" xfId="4" applyNumberFormat="1" applyFont="1" applyFill="1" applyBorder="1" applyAlignment="1">
      <alignment horizontal="center" vertical="center"/>
    </xf>
    <xf numFmtId="166" fontId="21" fillId="2" borderId="0" xfId="3" applyNumberFormat="1" applyFont="1" applyFill="1" applyBorder="1" applyAlignment="1">
      <alignment horizontal="left" vertical="center"/>
    </xf>
    <xf numFmtId="6" fontId="19" fillId="3" borderId="0" xfId="4" applyNumberFormat="1" applyFont="1" applyFill="1" applyBorder="1" applyAlignment="1">
      <alignment horizontal="center" vertical="center"/>
    </xf>
    <xf numFmtId="166" fontId="21" fillId="3" borderId="0" xfId="3" applyNumberFormat="1" applyFont="1" applyFill="1" applyBorder="1" applyAlignment="1">
      <alignment horizontal="left" vertical="center"/>
    </xf>
    <xf numFmtId="6" fontId="19" fillId="4" borderId="0" xfId="4" applyNumberFormat="1" applyFont="1" applyFill="1" applyBorder="1" applyAlignment="1">
      <alignment horizontal="center" vertical="center"/>
    </xf>
    <xf numFmtId="166" fontId="21" fillId="4" borderId="0" xfId="3" applyNumberFormat="1" applyFont="1" applyFill="1" applyBorder="1" applyAlignment="1">
      <alignment horizontal="left" vertical="center"/>
    </xf>
    <xf numFmtId="6" fontId="19" fillId="5" borderId="0" xfId="4" applyNumberFormat="1" applyFont="1" applyFill="1" applyBorder="1" applyAlignment="1">
      <alignment horizontal="center" vertical="center"/>
    </xf>
    <xf numFmtId="166" fontId="21" fillId="5" borderId="0" xfId="3" applyNumberFormat="1" applyFont="1" applyFill="1" applyBorder="1" applyAlignment="1">
      <alignment horizontal="left" vertical="center"/>
    </xf>
    <xf numFmtId="6" fontId="19" fillId="6" borderId="0" xfId="4" applyNumberFormat="1" applyFont="1" applyFill="1" applyBorder="1" applyAlignment="1">
      <alignment horizontal="center" vertical="center"/>
    </xf>
    <xf numFmtId="166" fontId="21" fillId="6" borderId="0" xfId="3" applyNumberFormat="1" applyFont="1" applyFill="1" applyBorder="1" applyAlignment="1">
      <alignment horizontal="left" vertical="center"/>
    </xf>
    <xf numFmtId="6" fontId="19" fillId="7" borderId="0" xfId="4" applyNumberFormat="1" applyFont="1" applyFill="1" applyBorder="1" applyAlignment="1">
      <alignment horizontal="center" vertical="center"/>
    </xf>
    <xf numFmtId="166" fontId="21" fillId="7" borderId="0" xfId="3" applyNumberFormat="1" applyFont="1" applyFill="1" applyBorder="1" applyAlignment="1">
      <alignment horizontal="left" vertical="center"/>
    </xf>
    <xf numFmtId="6" fontId="19" fillId="8" borderId="0" xfId="4" applyNumberFormat="1" applyFont="1" applyFill="1" applyBorder="1" applyAlignment="1">
      <alignment horizontal="center" vertical="center"/>
    </xf>
    <xf numFmtId="166" fontId="21" fillId="8" borderId="0" xfId="3" applyNumberFormat="1" applyFont="1" applyFill="1" applyBorder="1" applyAlignment="1">
      <alignment horizontal="left" vertical="center"/>
    </xf>
    <xf numFmtId="6" fontId="19" fillId="9" borderId="0" xfId="4" applyNumberFormat="1" applyFont="1" applyFill="1" applyBorder="1" applyAlignment="1">
      <alignment horizontal="center" vertical="center"/>
    </xf>
    <xf numFmtId="166" fontId="21" fillId="9" borderId="0" xfId="3" applyNumberFormat="1" applyFont="1" applyFill="1" applyBorder="1" applyAlignment="1">
      <alignment horizontal="left" vertical="center"/>
    </xf>
    <xf numFmtId="6" fontId="18" fillId="11" borderId="0" xfId="2" applyNumberFormat="1" applyFont="1" applyFill="1" applyAlignment="1">
      <alignment horizontal="left" vertical="center"/>
    </xf>
    <xf numFmtId="6" fontId="18" fillId="11" borderId="6" xfId="2" applyNumberFormat="1" applyFont="1" applyFill="1" applyBorder="1" applyAlignment="1">
      <alignment horizontal="left" vertical="center"/>
    </xf>
    <xf numFmtId="6" fontId="19" fillId="11" borderId="0" xfId="2" applyNumberFormat="1" applyFont="1" applyFill="1" applyAlignment="1">
      <alignment horizontal="center" vertical="center"/>
    </xf>
    <xf numFmtId="6" fontId="21" fillId="11" borderId="0" xfId="4" applyNumberFormat="1" applyFont="1" applyFill="1" applyBorder="1" applyAlignment="1">
      <alignment horizontal="left" vertical="center"/>
    </xf>
    <xf numFmtId="6" fontId="19" fillId="11" borderId="10" xfId="4" applyNumberFormat="1" applyFont="1" applyFill="1" applyBorder="1" applyAlignment="1">
      <alignment horizontal="center" vertical="center"/>
    </xf>
    <xf numFmtId="6" fontId="21" fillId="11" borderId="10" xfId="4" applyNumberFormat="1" applyFont="1" applyFill="1" applyBorder="1" applyAlignment="1">
      <alignment horizontal="left" vertical="center"/>
    </xf>
    <xf numFmtId="8" fontId="21" fillId="11" borderId="10" xfId="4" applyNumberFormat="1" applyFont="1" applyFill="1" applyBorder="1" applyAlignment="1">
      <alignment horizontal="left" vertical="center"/>
    </xf>
    <xf numFmtId="166" fontId="21" fillId="11" borderId="10" xfId="3" applyNumberFormat="1" applyFont="1" applyFill="1" applyBorder="1" applyAlignment="1">
      <alignment horizontal="left" vertical="center"/>
    </xf>
    <xf numFmtId="6" fontId="26" fillId="0" borderId="0" xfId="2" applyNumberFormat="1" applyFont="1" applyAlignment="1">
      <alignment horizontal="left" vertical="center"/>
    </xf>
    <xf numFmtId="6" fontId="26" fillId="0" borderId="6" xfId="2" applyNumberFormat="1" applyFont="1" applyBorder="1" applyAlignment="1">
      <alignment horizontal="left" vertical="center"/>
    </xf>
    <xf numFmtId="6" fontId="16" fillId="0" borderId="0" xfId="2" applyNumberFormat="1" applyFont="1" applyAlignment="1">
      <alignment horizontal="center" vertical="center" wrapText="1"/>
    </xf>
    <xf numFmtId="0" fontId="26" fillId="0" borderId="0" xfId="2" applyFont="1" applyAlignment="1">
      <alignment horizontal="centerContinuous"/>
    </xf>
    <xf numFmtId="6" fontId="27" fillId="0" borderId="0" xfId="2" applyNumberFormat="1" applyFont="1" applyAlignment="1">
      <alignment horizontal="left" vertical="center"/>
    </xf>
    <xf numFmtId="6" fontId="27" fillId="0" borderId="6" xfId="2" applyNumberFormat="1" applyFont="1" applyBorder="1" applyAlignment="1">
      <alignment horizontal="left" vertical="center"/>
    </xf>
    <xf numFmtId="6" fontId="19" fillId="0" borderId="0" xfId="2" applyNumberFormat="1" applyFont="1" applyAlignment="1">
      <alignment horizontal="center" vertical="center" wrapText="1"/>
    </xf>
    <xf numFmtId="6" fontId="28" fillId="0" borderId="0" xfId="2" applyNumberFormat="1" applyFont="1" applyAlignment="1">
      <alignment horizontal="center" vertical="center"/>
    </xf>
    <xf numFmtId="0" fontId="27" fillId="0" borderId="0" xfId="2" applyFont="1" applyAlignment="1">
      <alignment horizontal="centerContinuous"/>
    </xf>
    <xf numFmtId="6" fontId="17" fillId="0" borderId="0" xfId="2" applyNumberFormat="1" applyFont="1" applyAlignment="1">
      <alignment horizontal="center" vertical="center"/>
    </xf>
    <xf numFmtId="6" fontId="17" fillId="2" borderId="0" xfId="2" applyNumberFormat="1" applyFont="1" applyFill="1" applyAlignment="1">
      <alignment horizontal="center" vertical="center"/>
    </xf>
    <xf numFmtId="6" fontId="17" fillId="3" borderId="0" xfId="2" applyNumberFormat="1" applyFont="1" applyFill="1" applyAlignment="1">
      <alignment horizontal="center" vertical="center"/>
    </xf>
    <xf numFmtId="6" fontId="17" fillId="4" borderId="0" xfId="2" applyNumberFormat="1" applyFont="1" applyFill="1" applyAlignment="1">
      <alignment horizontal="center" vertical="center"/>
    </xf>
    <xf numFmtId="6" fontId="17" fillId="5" borderId="0" xfId="2" applyNumberFormat="1" applyFont="1" applyFill="1" applyAlignment="1">
      <alignment horizontal="center" vertical="center"/>
    </xf>
    <xf numFmtId="6" fontId="17" fillId="6" borderId="0" xfId="2" applyNumberFormat="1" applyFont="1" applyFill="1" applyAlignment="1">
      <alignment horizontal="center" vertical="center"/>
    </xf>
    <xf numFmtId="6" fontId="17" fillId="7" borderId="0" xfId="2" applyNumberFormat="1" applyFont="1" applyFill="1" applyAlignment="1">
      <alignment horizontal="center" vertical="center"/>
    </xf>
    <xf numFmtId="6" fontId="17" fillId="8" borderId="0" xfId="2" applyNumberFormat="1" applyFont="1" applyFill="1" applyAlignment="1">
      <alignment horizontal="center" vertical="center"/>
    </xf>
    <xf numFmtId="6" fontId="17" fillId="9" borderId="0" xfId="2" applyNumberFormat="1" applyFont="1" applyFill="1" applyAlignment="1">
      <alignment horizontal="center" vertical="center"/>
    </xf>
    <xf numFmtId="6" fontId="29" fillId="0" borderId="0" xfId="2" applyNumberFormat="1" applyFont="1" applyAlignment="1">
      <alignment horizontal="center" vertical="center"/>
    </xf>
    <xf numFmtId="6" fontId="19" fillId="12" borderId="0" xfId="2" applyNumberFormat="1" applyFont="1" applyFill="1" applyAlignment="1">
      <alignment horizontal="center" vertical="center" wrapText="1"/>
    </xf>
    <xf numFmtId="6" fontId="12" fillId="9" borderId="5" xfId="2" applyNumberFormat="1" applyFont="1" applyFill="1" applyBorder="1" applyAlignment="1">
      <alignment horizontal="center" vertical="center" wrapText="1"/>
    </xf>
    <xf numFmtId="6" fontId="12" fillId="9" borderId="0" xfId="2" applyNumberFormat="1" applyFont="1" applyFill="1" applyAlignment="1">
      <alignment horizontal="center" vertical="center" wrapText="1"/>
    </xf>
    <xf numFmtId="6" fontId="7" fillId="0" borderId="1" xfId="2" applyNumberFormat="1" applyFont="1" applyBorder="1" applyAlignment="1">
      <alignment horizontal="center" vertical="center"/>
    </xf>
    <xf numFmtId="6" fontId="7" fillId="0" borderId="2" xfId="2" applyNumberFormat="1" applyFont="1" applyBorder="1" applyAlignment="1">
      <alignment horizontal="center" vertical="center"/>
    </xf>
    <xf numFmtId="6" fontId="7" fillId="0" borderId="3" xfId="2" applyNumberFormat="1" applyFont="1" applyBorder="1" applyAlignment="1">
      <alignment horizontal="center" vertical="center"/>
    </xf>
    <xf numFmtId="164" fontId="19" fillId="2" borderId="7" xfId="2" applyNumberFormat="1" applyFont="1" applyFill="1" applyBorder="1" applyAlignment="1">
      <alignment horizontal="center" vertical="center"/>
    </xf>
    <xf numFmtId="164" fontId="19" fillId="3" borderId="7" xfId="2" applyNumberFormat="1" applyFont="1" applyFill="1" applyBorder="1" applyAlignment="1">
      <alignment horizontal="center" vertical="center"/>
    </xf>
    <xf numFmtId="164" fontId="19" fillId="4" borderId="7" xfId="2" applyNumberFormat="1" applyFont="1" applyFill="1" applyBorder="1" applyAlignment="1">
      <alignment horizontal="center" vertical="center"/>
    </xf>
    <xf numFmtId="164" fontId="19" fillId="5" borderId="7" xfId="2" applyNumberFormat="1" applyFont="1" applyFill="1" applyBorder="1" applyAlignment="1">
      <alignment horizontal="center" vertical="center"/>
    </xf>
    <xf numFmtId="164" fontId="19" fillId="6" borderId="7" xfId="2" applyNumberFormat="1" applyFont="1" applyFill="1" applyBorder="1" applyAlignment="1">
      <alignment horizontal="center" vertical="center"/>
    </xf>
    <xf numFmtId="164" fontId="19" fillId="7" borderId="7" xfId="2" applyNumberFormat="1" applyFont="1" applyFill="1" applyBorder="1" applyAlignment="1">
      <alignment horizontal="center" vertical="center" wrapText="1"/>
    </xf>
    <xf numFmtId="164" fontId="19" fillId="8" borderId="7" xfId="2" applyNumberFormat="1" applyFont="1" applyFill="1" applyBorder="1" applyAlignment="1">
      <alignment horizontal="center" vertical="center"/>
    </xf>
    <xf numFmtId="164" fontId="19" fillId="9" borderId="7" xfId="2" applyNumberFormat="1" applyFont="1" applyFill="1" applyBorder="1" applyAlignment="1">
      <alignment horizontal="center" vertical="center"/>
    </xf>
    <xf numFmtId="6" fontId="20" fillId="3" borderId="11" xfId="2" applyNumberFormat="1" applyFont="1" applyFill="1" applyBorder="1" applyAlignment="1">
      <alignment horizontal="left" vertical="center"/>
    </xf>
    <xf numFmtId="6" fontId="20" fillId="3" borderId="12" xfId="2" applyNumberFormat="1" applyFont="1" applyFill="1" applyBorder="1" applyAlignment="1">
      <alignment horizontal="left" vertical="center"/>
    </xf>
    <xf numFmtId="6" fontId="20" fillId="3" borderId="13" xfId="2" applyNumberFormat="1" applyFont="1" applyFill="1" applyBorder="1" applyAlignment="1">
      <alignment horizontal="left" vertical="center"/>
    </xf>
    <xf numFmtId="6" fontId="12" fillId="2" borderId="5" xfId="2" applyNumberFormat="1" applyFont="1" applyFill="1" applyBorder="1" applyAlignment="1">
      <alignment horizontal="center" vertical="center" wrapText="1"/>
    </xf>
    <xf numFmtId="6" fontId="12" fillId="2" borderId="0" xfId="2" applyNumberFormat="1" applyFont="1" applyFill="1" applyAlignment="1">
      <alignment horizontal="center" vertical="center" wrapText="1"/>
    </xf>
    <xf numFmtId="6" fontId="12" fillId="3" borderId="5" xfId="2" applyNumberFormat="1" applyFont="1" applyFill="1" applyBorder="1" applyAlignment="1">
      <alignment horizontal="center" vertical="center" wrapText="1"/>
    </xf>
    <xf numFmtId="6" fontId="12" fillId="3" borderId="0" xfId="2" applyNumberFormat="1" applyFont="1" applyFill="1" applyAlignment="1">
      <alignment horizontal="center" vertical="center" wrapText="1"/>
    </xf>
    <xf numFmtId="6" fontId="12" fillId="4" borderId="5" xfId="2" applyNumberFormat="1" applyFont="1" applyFill="1" applyBorder="1" applyAlignment="1">
      <alignment horizontal="center" vertical="center" wrapText="1"/>
    </xf>
    <xf numFmtId="6" fontId="12" fillId="4" borderId="0" xfId="2" applyNumberFormat="1" applyFont="1" applyFill="1" applyAlignment="1">
      <alignment horizontal="center" vertical="center" wrapText="1"/>
    </xf>
    <xf numFmtId="6" fontId="12" fillId="5" borderId="5" xfId="2" applyNumberFormat="1" applyFont="1" applyFill="1" applyBorder="1" applyAlignment="1">
      <alignment horizontal="center" vertical="center" wrapText="1"/>
    </xf>
    <xf numFmtId="6" fontId="12" fillId="5" borderId="0" xfId="2" applyNumberFormat="1" applyFont="1" applyFill="1" applyAlignment="1">
      <alignment horizontal="center" vertical="center" wrapText="1"/>
    </xf>
    <xf numFmtId="6" fontId="12" fillId="6" borderId="5" xfId="2" applyNumberFormat="1" applyFont="1" applyFill="1" applyBorder="1" applyAlignment="1">
      <alignment horizontal="center" vertical="center" wrapText="1"/>
    </xf>
    <xf numFmtId="6" fontId="12" fillId="6" borderId="0" xfId="2" applyNumberFormat="1" applyFont="1" applyFill="1" applyAlignment="1">
      <alignment horizontal="center" vertical="center" wrapText="1"/>
    </xf>
    <xf numFmtId="6" fontId="12" fillId="7" borderId="5" xfId="2" applyNumberFormat="1" applyFont="1" applyFill="1" applyBorder="1" applyAlignment="1">
      <alignment horizontal="center" vertical="center" wrapText="1"/>
    </xf>
    <xf numFmtId="6" fontId="12" fillId="7" borderId="0" xfId="2" applyNumberFormat="1" applyFont="1" applyFill="1" applyAlignment="1">
      <alignment horizontal="center" vertical="center" wrapText="1"/>
    </xf>
    <xf numFmtId="6" fontId="12" fillId="8" borderId="5" xfId="2" applyNumberFormat="1" applyFont="1" applyFill="1" applyBorder="1" applyAlignment="1">
      <alignment horizontal="center" vertical="center" wrapText="1"/>
    </xf>
    <xf numFmtId="6" fontId="12" fillId="8" borderId="0" xfId="2" applyNumberFormat="1" applyFont="1" applyFill="1" applyAlignment="1">
      <alignment horizontal="center" vertical="center" wrapText="1"/>
    </xf>
  </cellXfs>
  <cellStyles count="5">
    <cellStyle name="Monétaire 2" xfId="4" xr:uid="{2D83EBBE-C687-405D-A747-7272999C94CD}"/>
    <cellStyle name="Normal" xfId="0" builtinId="0"/>
    <cellStyle name="Normal 2 2 2" xfId="2" xr:uid="{D77C886A-D7E9-4E73-B708-F117A10F10EC}"/>
    <cellStyle name="Pourcentage" xfId="1" builtinId="5"/>
    <cellStyle name="Pourcentage 2" xfId="3" xr:uid="{0667C65C-D99D-4BB1-A965-05E4B5623B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tlavoieconseilcom.sharepoint.com/C:/C:/C:/Volumes/partage/Ventes/MOD&#200;LES/DIAGNOSTIC/ANALYSES/SAEC_Robert%20Lapointe%20montage%20financi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%20ventilation%20anthony%20maheu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tlavoieconseilcom.sharepoint.com/Users/jcote/GVG%20Dropbox/Groupe%20Vision%20Gestion/CLIENTS/F%20(M-Z)/FERME%20PARISBEL%20SENC/2019/C%20-%20Analyse%20et%20Rapport/Annuel/Analyse%20-%20Ferme%20Parisbel%20SENC%20-%20de&#769;c%20201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tlavoieconseilcom.sharepoint.com/Serveur/Documents/Documents%20and%20Settings/Andr&#233;e/Local%20Settings/Temporary%20Internet%20Files/Content.IE5/XRKF9G5F/Chev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tlavoieconseilcom.sharepoint.com/C:/C:/C:/@/Serveur/data%20(d)/Program%20files/FSGAQ/AGWin/Classeur/Originaux/Vveau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https://forestlavoieconseilcom.sharepoint.com/Users/michel.pitre/Documents/Mes%20documents%20Lauzon/A-Makibois/Personnel/Les%20entreprises%20Pitre%20Inc/Comptabilit&#233;,%20ann&#233;e%202016%20et%202017/Comptabilit&#233;%20et%20&#233;tats%20financiers%202017%20(en%20date%20du%2028%20octobre%202017).xlsx?EDF0F6B8" TargetMode="External"/><Relationship Id="rId1" Type="http://schemas.openxmlformats.org/officeDocument/2006/relationships/externalLinkPath" Target="file:///\\EDF0F6B8\Comptabilit&#233;%20et%20&#233;tats%20financiers%202017%20(en%20date%20du%2028%20octobre%202017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tlavoieconseilcom.sharepoint.com/C:/C:/C:/Users/Jasmincote/GVG%20Dropbox/Groupe%20Vision%20Gestion/CLIENTS%20ACTIF/D-F/Ferme%20Casault%20Inc/C%20-Analyse%20et%20Rapport/Analyse%20et%20suivi%20mensuel%20-%20Ferme%20Casault%20Inc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tlavoieconseilcom.sharepoint.com/Users/jcote/GVG%20Dropbox/Groupe%20Vision%20Gestion/CLIENTS/G-L/GROUPE%20BESSETTE/C%20-%20Analyse%20et%20Rapport/Analyse%20Groupe%20Bessette%20-%20Aou&#770;t%202019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tlavoieconseilcom.sharepoint.com/C:/Volumes/partage/Ventes/CLIENTS/M-P/GROUPE%20MAINVILLE/Ferme%20JANOR/budget31oct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ubs_templat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Ventilation_hiver14_d&#233;part%2021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nées oeufs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he"/>
      <sheetName val="Poule"/>
      <sheetName val="Porc"/>
      <sheetName val="Vent tunnel"/>
      <sheetName val="V_naturelle"/>
      <sheetName val="Ventilateurs"/>
      <sheetName val="Vent_tun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e _de_sensibilite_VBA"/>
      <sheetName val="Cover1-Couverture1"/>
      <sheetName val="Cover2-Couverture2"/>
      <sheetName val="Cover3-Couverture3"/>
      <sheetName val="Organisation onglet"/>
      <sheetName val="Informations cie"/>
      <sheetName val="Questions en cours"/>
      <sheetName val="Étape du transfert"/>
      <sheetName val="Organigramme"/>
      <sheetName val="Description d'actif"/>
      <sheetName val="Évaluation des gestionnaires"/>
      <sheetName val="Conformité"/>
      <sheetName val="Résumé - Diagnostic et GdR"/>
      <sheetName val="Etats_des_Resultats"/>
      <sheetName val="Comp. Technique Laitier"/>
      <sheetName val="Ajustement au BAIIA"/>
      <sheetName val="Amortissement"/>
      <sheetName val="Pension d'animaux"/>
      <sheetName val="Sommaire EF historique"/>
      <sheetName val="Sommaire EF prévision"/>
      <sheetName val="Sommaire EF hypothèses"/>
      <sheetName val="Description_des_prets"/>
      <sheetName val="Projet - à partir de 2020"/>
      <sheetName val="Projet pour 2019"/>
      <sheetName val="Capacite_de_remboursement"/>
      <sheetName val="Proposition_Financement"/>
      <sheetName val="Prévision Avicole"/>
      <sheetName val="Previsions_Laitieres"/>
      <sheetName val="Graphiques combiné"/>
      <sheetName val="Plan_de_cultures"/>
      <sheetName val="Analyse de sensibilité statique"/>
      <sheetName val="Tableau JVM "/>
      <sheetName val="Position des garanties LT"/>
      <sheetName val="Ratios financiers"/>
      <sheetName val="Bilans_comparatifs"/>
      <sheetName val="Analyse FR"/>
      <sheetName val="BNR_CC_Placement_Immo_CF"/>
      <sheetName val="Résumé variation d'inv"/>
      <sheetName val="Variations_inventaires"/>
      <sheetName val="Evaluation Equip_Batiment_Quota"/>
      <sheetName val="Evaluation_terres"/>
      <sheetName val="Certificat Évaluation actifs"/>
      <sheetName val="EF résumé"/>
      <sheetName val="Position des garanties CT"/>
      <sheetName val="Comparable Maraîcher"/>
      <sheetName val="Comparatif cultures"/>
      <sheetName val="Technico-éco porc"/>
      <sheetName val="Feuille ÉF"/>
      <sheetName val="Analyse par production"/>
      <sheetName val="Actionnariat_Bilan perso_Echean"/>
      <sheetName val="Tableaux de sommaire"/>
      <sheetName val="Prix intraquota à la ferme"/>
      <sheetName val="Bilan JVM"/>
      <sheetName val="FdR"/>
      <sheetName val="Position CT - prévision"/>
      <sheetName val="Normalisation - Capitalisation"/>
      <sheetName val="JVM - Capitalisation"/>
      <sheetName val="Normalisation - actualisation"/>
      <sheetName val="JVM - Actualisation"/>
      <sheetName val="Réinvestissement"/>
      <sheetName val="CMPC"/>
      <sheetName val="Actifs excédentaires"/>
      <sheetName val="Protection fiscale"/>
      <sheetName val="Rendement exigé actionnaires"/>
      <sheetName val="Résumé financier"/>
      <sheetName val="Cote de risque GVG"/>
      <sheetName val="Tableau de bord"/>
      <sheetName val="Etat_des_flux_de_tresorerie"/>
      <sheetName val="ER1-RE1"/>
      <sheetName val="Agriconseil "/>
      <sheetName val="Analyse Trésorerie"/>
      <sheetName val="Budget maraîcher"/>
      <sheetName val="Comparatif Technique poulet"/>
      <sheetName val="Comparatif Technique porcin"/>
      <sheetName val="Production Avicole"/>
      <sheetName val="Rentabilité du projet"/>
      <sheetName val="cash flow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"/>
      <sheetName val="tab-mat"/>
      <sheetName val="1"/>
      <sheetName val="2"/>
      <sheetName val="3"/>
      <sheetName val="4"/>
      <sheetName val="5"/>
      <sheetName val="6"/>
      <sheetName val="7"/>
      <sheetName val="8"/>
      <sheetName val="80"/>
      <sheetName val="90"/>
      <sheetName val="13"/>
      <sheetName val="matrice"/>
      <sheetName val="s-calc"/>
      <sheetName val="ZZ"/>
      <sheetName val="Départements Gestion"/>
      <sheetName val="Budget par départeme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"/>
      <sheetName val="1"/>
      <sheetName val="2"/>
      <sheetName val="3"/>
      <sheetName val="4"/>
      <sheetName val="5"/>
      <sheetName val="6"/>
      <sheetName val="50"/>
      <sheetName val="G7"/>
      <sheetName val="Matrice"/>
      <sheetName val="cri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 proforma"/>
      <sheetName val="Résultat proforma"/>
      <sheetName val="Suivi budget réel vs budget"/>
      <sheetName val="Comptabilité (2017)"/>
      <sheetName val="Compte à recevoir IGA"/>
      <sheetName val="Compte à recevoir IGA et Autres"/>
      <sheetName val="Suivi budget réel vs budget (2"/>
      <sheetName val="Saisie des salaires"/>
      <sheetName val="Comptabilité (2016)"/>
      <sheetName val="Investissements"/>
      <sheetName val="2017"/>
      <sheetName val="Maraicher"/>
      <sheetName val="Grande culture"/>
      <sheetName val="Ferme"/>
      <sheetName val="Comptabilité et états financ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e et suivi mensuel - Ferm"/>
    </sheetNames>
    <definedNames>
      <definedName name="Loan_Start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1-Couverture1"/>
      <sheetName val="Cover2-Couverture2"/>
      <sheetName val="Cover3-Couverture3"/>
      <sheetName val="Résultats sommaires"/>
      <sheetName val="Bilan sommaire"/>
      <sheetName val="Résumé rendements"/>
      <sheetName val="Organisation onglet"/>
      <sheetName val="Informations cie"/>
      <sheetName val="Questions en cours"/>
      <sheetName val="Description d'actif"/>
      <sheetName val="Gestion et Conformité"/>
      <sheetName val="Résumé - Diagnostic et GdR"/>
      <sheetName val="Etats_des_Resultats"/>
      <sheetName val="Capacite_de_remboursement"/>
      <sheetName val="Analyse par production"/>
      <sheetName val="Sommaire executif Banque"/>
      <sheetName val="Projet - CT"/>
      <sheetName val="Projet - LT"/>
      <sheetName val="Proposition_Financement"/>
      <sheetName val="Position des garanties - CT"/>
      <sheetName val="Position des garanties - LT"/>
      <sheetName val="Description_des_prets"/>
      <sheetName val="Description prêt 31 août 2019"/>
      <sheetName val="Bilans_comparatifs"/>
      <sheetName val="FdR à jour"/>
      <sheetName val="Previsions_Laitieres"/>
      <sheetName val="Comp. Technique Laitier"/>
      <sheetName val="Amortissement"/>
      <sheetName val="Analyse _de_sensibilite_VBA"/>
      <sheetName val="Analyse de sensibilité statique"/>
      <sheetName val="Tableau JVM "/>
      <sheetName val="Position CT - prévision"/>
      <sheetName val="Bilan JVM"/>
      <sheetName val="Analyse FR"/>
      <sheetName val="BNR_CC_Placement_Immo_CF"/>
      <sheetName val="Résumé variation d'inv"/>
      <sheetName val="Comparatif cultures"/>
      <sheetName val="Inventaire_Animaux_Cultures"/>
      <sheetName val="Evaluation Equip_Batiment_Quota"/>
      <sheetName val="Plan_de_cultures"/>
      <sheetName val="Evaluation_terres"/>
      <sheetName val="Certificat Évaluation actifs"/>
      <sheetName val="EF résumé"/>
      <sheetName val="Ratios financiers"/>
      <sheetName val="Graphiques combiné"/>
      <sheetName val="Comparable Maraîcher"/>
      <sheetName val="Technico-éco porc"/>
      <sheetName val="Feuille ÉF"/>
      <sheetName val="Actionnariat_Bilan perso_Echean"/>
      <sheetName val="Tableaux de sommaire"/>
      <sheetName val="Prix intraquota à la ferme"/>
      <sheetName val="Résumé financier"/>
      <sheetName val="Cote de risque GVG"/>
      <sheetName val="Tableau de bord"/>
      <sheetName val="Etat_des_flux_de_tresorerie"/>
      <sheetName val="ER1-RE1"/>
      <sheetName val="Agriconseil "/>
      <sheetName val="Analyse Trésorerie"/>
      <sheetName val="Budget maraîcher"/>
      <sheetName val="Comparatif Technique poulet"/>
      <sheetName val="Comparatif Technique porcin"/>
      <sheetName val="Production Avicole"/>
      <sheetName val="Rentabilité du projet"/>
      <sheetName val="cash flow "/>
      <sheetName val="Projet"/>
      <sheetName val="Refinancement des prêts"/>
      <sheetName val="Position des garanties"/>
      <sheetName val="Organigramme"/>
      <sheetName val="Analyse Groupe Bessette - Aoû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V 07"/>
      <sheetName val="MAI 06"/>
      <sheetName val="JUIN 06"/>
      <sheetName val="JUIL 06"/>
      <sheetName val="AOUT 06"/>
      <sheetName val="SEPT 06"/>
      <sheetName val="matercumul"/>
      <sheetName val="pouponcumul"/>
      <sheetName val="engraiscumul"/>
      <sheetName val="meuneriecumul"/>
      <sheetName val="pouletcumul"/>
      <sheetName val="OCT 06"/>
      <sheetName val="matercumul OCT"/>
      <sheetName val="pouponcumul OCT"/>
      <sheetName val="engraiscumul OCT"/>
      <sheetName val="meuneriecumul OCT"/>
      <sheetName val="pouletcumul OCT"/>
      <sheetName val="sommaire oct"/>
      <sheetName val="NOV 06"/>
      <sheetName val="DEC 06"/>
      <sheetName val="JANV 07"/>
      <sheetName val="MARS 07"/>
      <sheetName val="AVRIL 07"/>
      <sheetName val="TR"/>
      <sheetName val="Fernand"/>
      <sheetName val="Cumulatif"/>
      <sheetName val="Mat Roch uni_m"/>
      <sheetName val="Mat Roch tot_m"/>
      <sheetName val="Mat Cuth uni_m"/>
      <sheetName val="Mat.Cuth Total"/>
      <sheetName val="Mat Norb uni_m"/>
      <sheetName val="Mat Norb tot_m"/>
      <sheetName val="Mat Mélan uni_m"/>
      <sheetName val="Mat Mélan tot_m"/>
      <sheetName val="Pou uni_m"/>
      <sheetName val="Pou tot_m"/>
      <sheetName val="Eng Desr uni_m"/>
      <sheetName val="Eng Desr tot_m"/>
      <sheetName val="Eng Cuth uni_m"/>
      <sheetName val="Eng Cuth tot_m"/>
      <sheetName val="Eng. Thom uni_m"/>
      <sheetName val="Eng Thom tot_m"/>
      <sheetName val="RHenri uni_m"/>
      <sheetName val="RHenri tot_m"/>
      <sheetName val="Porc cont un"/>
      <sheetName val="Porc contrat"/>
      <sheetName val="JMH un"/>
      <sheetName val="JMH "/>
      <sheetName val="Meunerie"/>
      <sheetName val="Poulet"/>
      <sheetName val="Administration"/>
      <sheetName val="Animaux"/>
      <sheetName val="A.S.R.A."/>
      <sheetName val="Feuil1"/>
      <sheetName val="cashflow"/>
      <sheetName val="ASRA"/>
      <sheetName val="resumeasr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bs_template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he"/>
      <sheetName val="Poule"/>
      <sheetName val="Porc"/>
      <sheetName val="Vent tunnel"/>
      <sheetName val="V_naturelle"/>
      <sheetName val="Ventilateurs"/>
      <sheetName val="Vent_tunnel"/>
      <sheetName val="Ventilation_hiver14_départ 2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767F1-EBCD-4C47-A5A4-7F705AFC32FE}">
  <sheetPr>
    <tabColor rgb="FFFFFF00"/>
    <pageSetUpPr fitToPage="1"/>
  </sheetPr>
  <dimension ref="A1:AX108"/>
  <sheetViews>
    <sheetView showGridLines="0" tabSelected="1" topLeftCell="A2" zoomScale="70" zoomScaleNormal="70" workbookViewId="0">
      <pane xSplit="3" ySplit="8" topLeftCell="D10" activePane="bottomRight" state="frozen"/>
      <selection pane="topRight" activeCell="BN7" sqref="BN7"/>
      <selection pane="bottomLeft" activeCell="BN7" sqref="BN7"/>
      <selection pane="bottomRight" activeCell="AN23" sqref="AN23"/>
    </sheetView>
  </sheetViews>
  <sheetFormatPr baseColWidth="10" defaultColWidth="10.875" defaultRowHeight="12.75" outlineLevelCol="1"/>
  <cols>
    <col min="1" max="1" width="8" style="2" customWidth="1"/>
    <col min="2" max="2" width="2.375" style="2" customWidth="1"/>
    <col min="3" max="3" width="46.625" style="2" customWidth="1"/>
    <col min="4" max="4" width="1" style="2" customWidth="1"/>
    <col min="5" max="5" width="1" style="8" customWidth="1" outlineLevel="1"/>
    <col min="6" max="6" width="1.875" style="8" customWidth="1" outlineLevel="1"/>
    <col min="7" max="7" width="18.625" style="2" customWidth="1" outlineLevel="1"/>
    <col min="8" max="8" width="13.875" style="8" bestFit="1" customWidth="1" outlineLevel="1"/>
    <col min="9" max="9" width="13.625" style="8" bestFit="1" customWidth="1" outlineLevel="1"/>
    <col min="10" max="10" width="11.125" style="8" bestFit="1" customWidth="1" outlineLevel="1"/>
    <col min="11" max="11" width="1.875" style="8" customWidth="1" outlineLevel="1"/>
    <col min="12" max="12" width="16.5" style="2" customWidth="1" outlineLevel="1"/>
    <col min="13" max="13" width="14.125" style="8" bestFit="1" customWidth="1" outlineLevel="1"/>
    <col min="14" max="14" width="15.375" style="8" bestFit="1" customWidth="1" outlineLevel="1"/>
    <col min="15" max="15" width="11.125" style="8" bestFit="1" customWidth="1" outlineLevel="1"/>
    <col min="16" max="16" width="1.875" style="8" customWidth="1" outlineLevel="1"/>
    <col min="17" max="17" width="12.875" style="2" hidden="1" customWidth="1" outlineLevel="1"/>
    <col min="18" max="18" width="8.5" style="8" hidden="1" customWidth="1" outlineLevel="1"/>
    <col min="19" max="19" width="10" style="8" hidden="1" customWidth="1" outlineLevel="1"/>
    <col min="20" max="20" width="8.5" style="8" hidden="1" customWidth="1" outlineLevel="1"/>
    <col min="21" max="21" width="1.875" style="8" hidden="1" customWidth="1" outlineLevel="1"/>
    <col min="22" max="22" width="12.875" style="2" hidden="1" customWidth="1" outlineLevel="1"/>
    <col min="23" max="23" width="8.5" style="8" hidden="1" customWidth="1" outlineLevel="1"/>
    <col min="24" max="24" width="10" style="8" hidden="1" customWidth="1" outlineLevel="1"/>
    <col min="25" max="25" width="8.5" style="8" hidden="1" customWidth="1" outlineLevel="1"/>
    <col min="26" max="26" width="1.875" style="8" hidden="1" customWidth="1" outlineLevel="1"/>
    <col min="27" max="27" width="12.875" style="2" hidden="1" customWidth="1" outlineLevel="1"/>
    <col min="28" max="28" width="8.5" style="8" hidden="1" customWidth="1" outlineLevel="1"/>
    <col min="29" max="29" width="10" style="8" hidden="1" customWidth="1" outlineLevel="1"/>
    <col min="30" max="30" width="8.5" style="8" hidden="1" customWidth="1" outlineLevel="1"/>
    <col min="31" max="31" width="1.875" style="8" hidden="1" customWidth="1" outlineLevel="1"/>
    <col min="32" max="32" width="17.375" style="2" bestFit="1" customWidth="1" outlineLevel="1"/>
    <col min="33" max="33" width="13.375" style="8" bestFit="1" customWidth="1" outlineLevel="1"/>
    <col min="34" max="34" width="12.125" style="8" bestFit="1" customWidth="1" outlineLevel="1"/>
    <col min="35" max="35" width="1" style="8" customWidth="1" outlineLevel="1"/>
    <col min="36" max="36" width="1.875" style="8" customWidth="1"/>
    <col min="37" max="37" width="1" style="2" customWidth="1"/>
    <col min="38" max="38" width="1" style="8" customWidth="1" outlineLevel="1"/>
    <col min="39" max="39" width="14.875" style="2" customWidth="1" outlineLevel="1"/>
    <col min="40" max="40" width="13.875" style="8" bestFit="1" customWidth="1" outlineLevel="1"/>
    <col min="41" max="41" width="15.375" style="8" bestFit="1" customWidth="1" outlineLevel="1"/>
    <col min="42" max="42" width="11.125" style="8" bestFit="1" customWidth="1" outlineLevel="1"/>
    <col min="43" max="43" width="1.875" style="8" customWidth="1" outlineLevel="1"/>
    <col min="44" max="44" width="1.375" style="8" customWidth="1" outlineLevel="1"/>
    <col min="45" max="45" width="27.125" style="2" bestFit="1" customWidth="1" outlineLevel="1"/>
    <col min="46" max="46" width="14.125" style="8" bestFit="1" customWidth="1" outlineLevel="1"/>
    <col min="47" max="47" width="15.375" style="8" bestFit="1" customWidth="1" outlineLevel="1"/>
    <col min="48" max="48" width="11.125" style="8" bestFit="1" customWidth="1" outlineLevel="1"/>
    <col min="49" max="49" width="0.875" style="8" customWidth="1"/>
    <col min="50" max="50" width="0.875" style="8" customWidth="1" outlineLevel="1"/>
    <col min="51" max="16384" width="10.875" style="2"/>
  </cols>
  <sheetData>
    <row r="1" spans="1:50" ht="20.25">
      <c r="A1" s="38"/>
      <c r="B1" s="38"/>
      <c r="C1" s="38"/>
      <c r="D1" s="38"/>
      <c r="E1" s="39"/>
      <c r="F1" s="39"/>
      <c r="G1" s="38"/>
      <c r="H1" s="39"/>
      <c r="I1" s="39"/>
      <c r="J1" s="39"/>
      <c r="K1" s="39"/>
      <c r="L1" s="38"/>
      <c r="M1" s="39"/>
      <c r="N1" s="39"/>
      <c r="O1" s="39"/>
      <c r="P1" s="39"/>
      <c r="Q1" s="38"/>
      <c r="R1" s="39"/>
      <c r="S1" s="39"/>
      <c r="T1" s="39"/>
      <c r="U1" s="39"/>
      <c r="V1" s="38"/>
      <c r="W1" s="39"/>
      <c r="X1" s="39"/>
      <c r="Y1" s="39"/>
      <c r="Z1" s="39"/>
      <c r="AA1" s="38"/>
      <c r="AB1" s="39"/>
      <c r="AC1" s="39"/>
      <c r="AD1" s="39"/>
      <c r="AE1" s="39"/>
      <c r="AF1" s="38"/>
      <c r="AG1" s="39"/>
      <c r="AH1" s="39"/>
      <c r="AI1" s="39"/>
      <c r="AJ1" s="39"/>
      <c r="AK1" s="38"/>
      <c r="AL1" s="39"/>
      <c r="AM1" s="38"/>
      <c r="AN1" s="39"/>
      <c r="AO1" s="39"/>
      <c r="AP1" s="39"/>
      <c r="AQ1" s="39"/>
      <c r="AR1" s="39"/>
      <c r="AS1" s="38"/>
      <c r="AT1" s="39"/>
      <c r="AU1" s="39"/>
      <c r="AV1" s="39"/>
      <c r="AW1" s="39"/>
      <c r="AX1" s="1"/>
    </row>
    <row r="2" spans="1:50" ht="20.25" hidden="1">
      <c r="A2" s="40"/>
      <c r="B2" s="40"/>
      <c r="C2" s="41"/>
      <c r="D2" s="41"/>
      <c r="E2" s="42"/>
      <c r="F2" s="42"/>
      <c r="G2" s="507" t="s">
        <v>0</v>
      </c>
      <c r="H2" s="508"/>
      <c r="I2" s="508"/>
      <c r="J2" s="508"/>
      <c r="K2" s="42"/>
      <c r="L2" s="507" t="s">
        <v>1</v>
      </c>
      <c r="M2" s="508"/>
      <c r="N2" s="508"/>
      <c r="O2" s="508"/>
      <c r="P2" s="42"/>
      <c r="Q2" s="507" t="s">
        <v>2</v>
      </c>
      <c r="R2" s="508"/>
      <c r="S2" s="508"/>
      <c r="T2" s="508"/>
      <c r="U2" s="42"/>
      <c r="V2" s="507" t="s">
        <v>3</v>
      </c>
      <c r="W2" s="508"/>
      <c r="X2" s="508"/>
      <c r="Y2" s="508"/>
      <c r="Z2" s="42"/>
      <c r="AA2" s="507" t="s">
        <v>4</v>
      </c>
      <c r="AB2" s="508"/>
      <c r="AC2" s="508"/>
      <c r="AD2" s="508"/>
      <c r="AE2" s="42"/>
      <c r="AF2" s="507" t="s">
        <v>5</v>
      </c>
      <c r="AG2" s="508"/>
      <c r="AH2" s="508"/>
      <c r="AI2" s="508"/>
      <c r="AJ2" s="42"/>
      <c r="AK2" s="41"/>
      <c r="AL2" s="42"/>
      <c r="AM2" s="507" t="s">
        <v>6</v>
      </c>
      <c r="AN2" s="508"/>
      <c r="AO2" s="508"/>
      <c r="AP2" s="508"/>
      <c r="AQ2" s="508"/>
      <c r="AR2" s="508"/>
      <c r="AS2" s="508"/>
      <c r="AT2" s="508"/>
      <c r="AU2" s="508"/>
      <c r="AV2" s="509"/>
      <c r="AW2" s="42"/>
      <c r="AX2" s="4"/>
    </row>
    <row r="3" spans="1:50" ht="14.25" customHeight="1">
      <c r="A3" s="41"/>
      <c r="B3" s="43"/>
      <c r="C3" s="44"/>
      <c r="D3" s="44"/>
      <c r="E3" s="45"/>
      <c r="F3" s="45"/>
      <c r="G3" s="46"/>
      <c r="H3" s="47"/>
      <c r="I3" s="47"/>
      <c r="J3" s="47"/>
      <c r="K3" s="45"/>
      <c r="L3" s="48"/>
      <c r="M3" s="49"/>
      <c r="N3" s="49"/>
      <c r="O3" s="49"/>
      <c r="P3" s="45"/>
      <c r="Q3" s="50"/>
      <c r="R3" s="51"/>
      <c r="S3" s="51"/>
      <c r="T3" s="51"/>
      <c r="U3" s="45"/>
      <c r="V3" s="52"/>
      <c r="W3" s="53"/>
      <c r="X3" s="53"/>
      <c r="Y3" s="53"/>
      <c r="Z3" s="45"/>
      <c r="AA3" s="54"/>
      <c r="AB3" s="55"/>
      <c r="AC3" s="55"/>
      <c r="AD3" s="55"/>
      <c r="AE3" s="45"/>
      <c r="AF3" s="56"/>
      <c r="AG3" s="57"/>
      <c r="AH3" s="57"/>
      <c r="AI3" s="57"/>
      <c r="AJ3" s="45"/>
      <c r="AK3" s="44"/>
      <c r="AL3" s="45"/>
      <c r="AM3" s="58"/>
      <c r="AN3" s="59"/>
      <c r="AO3" s="59"/>
      <c r="AP3" s="59"/>
      <c r="AQ3" s="45"/>
      <c r="AR3" s="45"/>
      <c r="AS3" s="60"/>
      <c r="AT3" s="61"/>
      <c r="AU3" s="61"/>
      <c r="AV3" s="61"/>
      <c r="AW3" s="45"/>
      <c r="AX3" s="5"/>
    </row>
    <row r="4" spans="1:50" s="493" customFormat="1" ht="54">
      <c r="A4" s="489"/>
      <c r="B4" s="490"/>
      <c r="C4" s="491" t="s">
        <v>7</v>
      </c>
      <c r="D4" s="126"/>
      <c r="E4" s="188"/>
      <c r="F4" s="188"/>
      <c r="G4" s="510" t="s">
        <v>72</v>
      </c>
      <c r="H4" s="510"/>
      <c r="I4" s="510"/>
      <c r="J4" s="510"/>
      <c r="K4" s="188"/>
      <c r="L4" s="511" t="s">
        <v>8</v>
      </c>
      <c r="M4" s="511"/>
      <c r="N4" s="511"/>
      <c r="O4" s="511"/>
      <c r="P4" s="188"/>
      <c r="Q4" s="512" t="s">
        <v>9</v>
      </c>
      <c r="R4" s="512"/>
      <c r="S4" s="512"/>
      <c r="T4" s="512"/>
      <c r="U4" s="188"/>
      <c r="V4" s="513" t="s">
        <v>10</v>
      </c>
      <c r="W4" s="513"/>
      <c r="X4" s="513"/>
      <c r="Y4" s="513"/>
      <c r="Z4" s="188"/>
      <c r="AA4" s="514" t="s">
        <v>11</v>
      </c>
      <c r="AB4" s="514"/>
      <c r="AC4" s="514"/>
      <c r="AD4" s="514"/>
      <c r="AE4" s="188"/>
      <c r="AF4" s="515" t="s">
        <v>12</v>
      </c>
      <c r="AG4" s="515"/>
      <c r="AH4" s="515"/>
      <c r="AI4" s="165"/>
      <c r="AJ4" s="188"/>
      <c r="AK4" s="126"/>
      <c r="AL4" s="188"/>
      <c r="AM4" s="516" t="s">
        <v>13</v>
      </c>
      <c r="AN4" s="516"/>
      <c r="AO4" s="516"/>
      <c r="AP4" s="516"/>
      <c r="AQ4" s="188"/>
      <c r="AR4" s="188"/>
      <c r="AS4" s="517" t="s">
        <v>14</v>
      </c>
      <c r="AT4" s="517"/>
      <c r="AU4" s="517"/>
      <c r="AV4" s="517"/>
      <c r="AW4" s="492"/>
      <c r="AX4" s="492"/>
    </row>
    <row r="5" spans="1:50" ht="25.5">
      <c r="A5" s="41"/>
      <c r="B5" s="62"/>
      <c r="C5" s="487" t="s">
        <v>15</v>
      </c>
      <c r="D5" s="91"/>
      <c r="E5" s="92"/>
      <c r="F5" s="92"/>
      <c r="G5" s="521" t="s">
        <v>16</v>
      </c>
      <c r="H5" s="93"/>
      <c r="I5" s="93"/>
      <c r="J5" s="93"/>
      <c r="K5" s="92"/>
      <c r="L5" s="523" t="s">
        <v>17</v>
      </c>
      <c r="M5" s="94"/>
      <c r="N5" s="94"/>
      <c r="O5" s="94"/>
      <c r="P5" s="92"/>
      <c r="Q5" s="525" t="s">
        <v>17</v>
      </c>
      <c r="R5" s="95"/>
      <c r="S5" s="95"/>
      <c r="T5" s="95"/>
      <c r="U5" s="92"/>
      <c r="V5" s="527" t="s">
        <v>17</v>
      </c>
      <c r="W5" s="96"/>
      <c r="X5" s="96"/>
      <c r="Y5" s="96"/>
      <c r="Z5" s="92"/>
      <c r="AA5" s="529" t="s">
        <v>18</v>
      </c>
      <c r="AB5" s="97"/>
      <c r="AC5" s="97"/>
      <c r="AD5" s="97"/>
      <c r="AE5" s="92"/>
      <c r="AF5" s="531"/>
      <c r="AG5" s="98"/>
      <c r="AH5" s="98"/>
      <c r="AI5" s="98"/>
      <c r="AJ5" s="92"/>
      <c r="AK5" s="91"/>
      <c r="AL5" s="92"/>
      <c r="AM5" s="533" t="s">
        <v>19</v>
      </c>
      <c r="AN5" s="99"/>
      <c r="AO5" s="99"/>
      <c r="AP5" s="99"/>
      <c r="AQ5" s="92"/>
      <c r="AR5" s="92"/>
      <c r="AS5" s="505" t="s">
        <v>19</v>
      </c>
      <c r="AT5" s="100"/>
      <c r="AU5" s="100"/>
      <c r="AV5" s="100"/>
      <c r="AW5" s="63"/>
      <c r="AX5" s="6"/>
    </row>
    <row r="6" spans="1:50" s="488" customFormat="1" ht="26.25" thickBot="1">
      <c r="A6" s="485"/>
      <c r="B6" s="486"/>
      <c r="C6" s="102" t="s">
        <v>20</v>
      </c>
      <c r="D6" s="101"/>
      <c r="E6" s="494"/>
      <c r="F6" s="494"/>
      <c r="G6" s="522"/>
      <c r="H6" s="495" t="s">
        <v>21</v>
      </c>
      <c r="I6" s="495" t="s">
        <v>22</v>
      </c>
      <c r="J6" s="495"/>
      <c r="K6" s="494"/>
      <c r="L6" s="524"/>
      <c r="M6" s="496" t="s">
        <v>21</v>
      </c>
      <c r="N6" s="496" t="s">
        <v>23</v>
      </c>
      <c r="O6" s="496"/>
      <c r="P6" s="494"/>
      <c r="Q6" s="526"/>
      <c r="R6" s="497" t="s">
        <v>21</v>
      </c>
      <c r="S6" s="497" t="s">
        <v>23</v>
      </c>
      <c r="T6" s="497"/>
      <c r="U6" s="494"/>
      <c r="V6" s="528"/>
      <c r="W6" s="498" t="s">
        <v>21</v>
      </c>
      <c r="X6" s="498" t="s">
        <v>23</v>
      </c>
      <c r="Y6" s="498"/>
      <c r="Z6" s="494"/>
      <c r="AA6" s="530"/>
      <c r="AB6" s="499" t="s">
        <v>21</v>
      </c>
      <c r="AC6" s="499" t="s">
        <v>24</v>
      </c>
      <c r="AD6" s="499"/>
      <c r="AE6" s="494"/>
      <c r="AF6" s="532"/>
      <c r="AG6" s="500" t="s">
        <v>21</v>
      </c>
      <c r="AH6" s="500"/>
      <c r="AI6" s="500"/>
      <c r="AJ6" s="494"/>
      <c r="AK6" s="101"/>
      <c r="AL6" s="494"/>
      <c r="AM6" s="534"/>
      <c r="AN6" s="501" t="s">
        <v>21</v>
      </c>
      <c r="AO6" s="501" t="s">
        <v>25</v>
      </c>
      <c r="AP6" s="501"/>
      <c r="AQ6" s="494"/>
      <c r="AR6" s="494"/>
      <c r="AS6" s="506"/>
      <c r="AT6" s="502" t="s">
        <v>21</v>
      </c>
      <c r="AU6" s="502" t="s">
        <v>25</v>
      </c>
      <c r="AV6" s="502"/>
      <c r="AW6" s="503"/>
      <c r="AX6" s="503"/>
    </row>
    <row r="7" spans="1:50" s="125" customFormat="1" ht="27.75" thickBot="1">
      <c r="A7" s="103"/>
      <c r="B7" s="104"/>
      <c r="C7" s="105" t="s">
        <v>70</v>
      </c>
      <c r="D7" s="106"/>
      <c r="E7" s="107"/>
      <c r="F7" s="107"/>
      <c r="G7" s="108">
        <f>I7/H7</f>
        <v>338.24495292939076</v>
      </c>
      <c r="H7" s="109">
        <f>30.5*2.471</f>
        <v>75.365499999999997</v>
      </c>
      <c r="I7" s="109">
        <v>25492</v>
      </c>
      <c r="J7" s="109"/>
      <c r="K7" s="107"/>
      <c r="L7" s="110">
        <v>14</v>
      </c>
      <c r="M7" s="111">
        <v>41</v>
      </c>
      <c r="N7" s="111">
        <f>L7*M7</f>
        <v>574</v>
      </c>
      <c r="O7" s="111"/>
      <c r="P7" s="107"/>
      <c r="Q7" s="112">
        <v>2.0099999999999998</v>
      </c>
      <c r="R7" s="113">
        <v>1</v>
      </c>
      <c r="S7" s="113">
        <f>R7*Q7</f>
        <v>2.0099999999999998</v>
      </c>
      <c r="T7" s="113"/>
      <c r="U7" s="107"/>
      <c r="V7" s="114">
        <v>4.07</v>
      </c>
      <c r="W7" s="115">
        <v>1</v>
      </c>
      <c r="X7" s="115">
        <f>V7*W7</f>
        <v>4.07</v>
      </c>
      <c r="Y7" s="115"/>
      <c r="Z7" s="107"/>
      <c r="AA7" s="116">
        <v>7.37</v>
      </c>
      <c r="AB7" s="117">
        <v>1</v>
      </c>
      <c r="AC7" s="117">
        <f>AA7*AB7</f>
        <v>7.37</v>
      </c>
      <c r="AD7" s="117"/>
      <c r="AE7" s="107"/>
      <c r="AF7" s="118"/>
      <c r="AG7" s="119">
        <v>924</v>
      </c>
      <c r="AH7" s="119"/>
      <c r="AI7" s="119"/>
      <c r="AJ7" s="107"/>
      <c r="AK7" s="106"/>
      <c r="AL7" s="107"/>
      <c r="AM7" s="120">
        <v>48</v>
      </c>
      <c r="AN7" s="121">
        <v>1</v>
      </c>
      <c r="AO7" s="122">
        <f>AN7*AM7</f>
        <v>48</v>
      </c>
      <c r="AP7" s="122"/>
      <c r="AQ7" s="107"/>
      <c r="AR7" s="107"/>
      <c r="AS7" s="123">
        <v>45</v>
      </c>
      <c r="AT7" s="121">
        <v>1</v>
      </c>
      <c r="AU7" s="124">
        <f>AT7*AS7</f>
        <v>45</v>
      </c>
      <c r="AV7" s="124"/>
      <c r="AW7" s="107"/>
      <c r="AX7" s="107"/>
    </row>
    <row r="8" spans="1:50" s="125" customFormat="1" ht="27">
      <c r="A8" s="126"/>
      <c r="B8" s="127"/>
      <c r="C8" s="128" t="s">
        <v>20</v>
      </c>
      <c r="D8" s="128"/>
      <c r="E8" s="129"/>
      <c r="F8" s="129"/>
      <c r="G8" s="130"/>
      <c r="H8" s="131"/>
      <c r="I8" s="131"/>
      <c r="J8" s="132"/>
      <c r="K8" s="129"/>
      <c r="L8" s="133"/>
      <c r="M8" s="134"/>
      <c r="N8" s="134"/>
      <c r="O8" s="135"/>
      <c r="P8" s="129"/>
      <c r="Q8" s="136"/>
      <c r="R8" s="137"/>
      <c r="S8" s="137"/>
      <c r="T8" s="138"/>
      <c r="U8" s="129"/>
      <c r="V8" s="139"/>
      <c r="W8" s="140"/>
      <c r="X8" s="140"/>
      <c r="Y8" s="141"/>
      <c r="Z8" s="129"/>
      <c r="AA8" s="142"/>
      <c r="AB8" s="143"/>
      <c r="AC8" s="143"/>
      <c r="AD8" s="144"/>
      <c r="AE8" s="129"/>
      <c r="AF8" s="145"/>
      <c r="AG8" s="146"/>
      <c r="AH8" s="147"/>
      <c r="AI8" s="147"/>
      <c r="AJ8" s="129"/>
      <c r="AK8" s="128"/>
      <c r="AL8" s="129"/>
      <c r="AM8" s="148"/>
      <c r="AN8" s="149"/>
      <c r="AO8" s="149"/>
      <c r="AP8" s="150"/>
      <c r="AQ8" s="129"/>
      <c r="AR8" s="129"/>
      <c r="AS8" s="151"/>
      <c r="AT8" s="152"/>
      <c r="AU8" s="152"/>
      <c r="AV8" s="153"/>
      <c r="AW8" s="129"/>
      <c r="AX8" s="129"/>
    </row>
    <row r="9" spans="1:50" s="125" customFormat="1" ht="20.25" customHeight="1">
      <c r="A9" s="126"/>
      <c r="B9" s="127"/>
      <c r="C9" s="126"/>
      <c r="D9" s="126"/>
      <c r="E9" s="154"/>
      <c r="F9" s="154"/>
      <c r="G9" s="155" t="s">
        <v>26</v>
      </c>
      <c r="H9" s="156" t="s">
        <v>27</v>
      </c>
      <c r="I9" s="156" t="s">
        <v>28</v>
      </c>
      <c r="J9" s="156" t="s">
        <v>29</v>
      </c>
      <c r="K9" s="154"/>
      <c r="L9" s="157" t="s">
        <v>26</v>
      </c>
      <c r="M9" s="158" t="s">
        <v>27</v>
      </c>
      <c r="N9" s="158" t="s">
        <v>28</v>
      </c>
      <c r="O9" s="158" t="s">
        <v>29</v>
      </c>
      <c r="P9" s="154"/>
      <c r="Q9" s="159" t="s">
        <v>26</v>
      </c>
      <c r="R9" s="160" t="s">
        <v>27</v>
      </c>
      <c r="S9" s="160" t="s">
        <v>28</v>
      </c>
      <c r="T9" s="160" t="s">
        <v>29</v>
      </c>
      <c r="U9" s="154"/>
      <c r="V9" s="161" t="s">
        <v>26</v>
      </c>
      <c r="W9" s="162" t="s">
        <v>27</v>
      </c>
      <c r="X9" s="162" t="s">
        <v>28</v>
      </c>
      <c r="Y9" s="162" t="s">
        <v>29</v>
      </c>
      <c r="Z9" s="154"/>
      <c r="AA9" s="163" t="s">
        <v>26</v>
      </c>
      <c r="AB9" s="164" t="s">
        <v>27</v>
      </c>
      <c r="AC9" s="164" t="s">
        <v>28</v>
      </c>
      <c r="AD9" s="164" t="s">
        <v>29</v>
      </c>
      <c r="AE9" s="154"/>
      <c r="AF9" s="165" t="s">
        <v>26</v>
      </c>
      <c r="AG9" s="166" t="s">
        <v>27</v>
      </c>
      <c r="AH9" s="166" t="s">
        <v>29</v>
      </c>
      <c r="AI9" s="166"/>
      <c r="AJ9" s="154"/>
      <c r="AK9" s="126"/>
      <c r="AL9" s="154"/>
      <c r="AM9" s="167" t="s">
        <v>26</v>
      </c>
      <c r="AN9" s="168" t="s">
        <v>27</v>
      </c>
      <c r="AO9" s="168" t="s">
        <v>28</v>
      </c>
      <c r="AP9" s="168" t="s">
        <v>29</v>
      </c>
      <c r="AQ9" s="154"/>
      <c r="AR9" s="154"/>
      <c r="AS9" s="169" t="s">
        <v>26</v>
      </c>
      <c r="AT9" s="170" t="s">
        <v>27</v>
      </c>
      <c r="AU9" s="170" t="s">
        <v>28</v>
      </c>
      <c r="AV9" s="170" t="s">
        <v>29</v>
      </c>
      <c r="AW9" s="154"/>
      <c r="AX9" s="154"/>
    </row>
    <row r="10" spans="1:50" s="125" customFormat="1" ht="27">
      <c r="A10" s="126"/>
      <c r="B10" s="127"/>
      <c r="C10" s="126"/>
      <c r="D10" s="126"/>
      <c r="E10" s="171"/>
      <c r="F10" s="171"/>
      <c r="G10" s="172"/>
      <c r="H10" s="173"/>
      <c r="I10" s="173"/>
      <c r="J10" s="173"/>
      <c r="K10" s="171"/>
      <c r="L10" s="174"/>
      <c r="M10" s="175"/>
      <c r="N10" s="175"/>
      <c r="O10" s="175"/>
      <c r="P10" s="171"/>
      <c r="Q10" s="176"/>
      <c r="R10" s="177"/>
      <c r="S10" s="177"/>
      <c r="T10" s="177"/>
      <c r="U10" s="171"/>
      <c r="V10" s="178"/>
      <c r="W10" s="179"/>
      <c r="X10" s="179"/>
      <c r="Y10" s="179"/>
      <c r="Z10" s="171"/>
      <c r="AA10" s="180"/>
      <c r="AB10" s="181"/>
      <c r="AC10" s="181"/>
      <c r="AD10" s="181"/>
      <c r="AE10" s="171"/>
      <c r="AF10" s="182"/>
      <c r="AG10" s="183"/>
      <c r="AH10" s="183"/>
      <c r="AI10" s="183"/>
      <c r="AJ10" s="171"/>
      <c r="AK10" s="126"/>
      <c r="AL10" s="171"/>
      <c r="AM10" s="184"/>
      <c r="AN10" s="185"/>
      <c r="AO10" s="185"/>
      <c r="AP10" s="185"/>
      <c r="AQ10" s="171"/>
      <c r="AR10" s="171"/>
      <c r="AS10" s="186"/>
      <c r="AT10" s="187"/>
      <c r="AU10" s="187"/>
      <c r="AV10" s="187"/>
      <c r="AW10" s="171"/>
      <c r="AX10" s="171"/>
    </row>
    <row r="11" spans="1:50" s="125" customFormat="1" ht="27">
      <c r="A11" s="126"/>
      <c r="B11" s="127"/>
      <c r="C11" s="188" t="s">
        <v>30</v>
      </c>
      <c r="D11" s="126"/>
      <c r="E11" s="154"/>
      <c r="F11" s="154"/>
      <c r="G11" s="155"/>
      <c r="H11" s="156"/>
      <c r="I11" s="156"/>
      <c r="J11" s="189"/>
      <c r="K11" s="154"/>
      <c r="L11" s="157"/>
      <c r="M11" s="158"/>
      <c r="N11" s="158"/>
      <c r="O11" s="190"/>
      <c r="P11" s="154"/>
      <c r="Q11" s="159"/>
      <c r="R11" s="160"/>
      <c r="S11" s="160"/>
      <c r="T11" s="191"/>
      <c r="U11" s="154"/>
      <c r="V11" s="161"/>
      <c r="W11" s="162"/>
      <c r="X11" s="162"/>
      <c r="Y11" s="192"/>
      <c r="Z11" s="154"/>
      <c r="AA11" s="163"/>
      <c r="AB11" s="164"/>
      <c r="AC11" s="164"/>
      <c r="AD11" s="193"/>
      <c r="AE11" s="154"/>
      <c r="AF11" s="165"/>
      <c r="AG11" s="166"/>
      <c r="AH11" s="194"/>
      <c r="AI11" s="166"/>
      <c r="AJ11" s="154"/>
      <c r="AK11" s="126"/>
      <c r="AL11" s="154"/>
      <c r="AM11" s="167"/>
      <c r="AN11" s="168"/>
      <c r="AO11" s="168"/>
      <c r="AP11" s="195"/>
      <c r="AQ11" s="154"/>
      <c r="AR11" s="154"/>
      <c r="AS11" s="169"/>
      <c r="AT11" s="170"/>
      <c r="AU11" s="170"/>
      <c r="AV11" s="196"/>
      <c r="AW11" s="154"/>
      <c r="AX11" s="154"/>
    </row>
    <row r="12" spans="1:50" s="125" customFormat="1" ht="27">
      <c r="A12" s="126"/>
      <c r="B12" s="127"/>
      <c r="C12" s="126"/>
      <c r="D12" s="126"/>
      <c r="E12" s="154"/>
      <c r="F12" s="154"/>
      <c r="G12" s="155"/>
      <c r="H12" s="156"/>
      <c r="I12" s="156"/>
      <c r="J12" s="189"/>
      <c r="K12" s="154"/>
      <c r="L12" s="157"/>
      <c r="M12" s="158"/>
      <c r="N12" s="158"/>
      <c r="O12" s="190"/>
      <c r="P12" s="154"/>
      <c r="Q12" s="159"/>
      <c r="R12" s="160"/>
      <c r="S12" s="160"/>
      <c r="T12" s="191"/>
      <c r="U12" s="154"/>
      <c r="V12" s="161"/>
      <c r="W12" s="162"/>
      <c r="X12" s="162"/>
      <c r="Y12" s="192"/>
      <c r="Z12" s="154"/>
      <c r="AA12" s="163"/>
      <c r="AB12" s="164"/>
      <c r="AC12" s="164"/>
      <c r="AD12" s="193"/>
      <c r="AE12" s="154"/>
      <c r="AF12" s="165"/>
      <c r="AG12" s="166"/>
      <c r="AH12" s="194"/>
      <c r="AI12" s="166"/>
      <c r="AJ12" s="154"/>
      <c r="AK12" s="126"/>
      <c r="AL12" s="154"/>
      <c r="AM12" s="167"/>
      <c r="AN12" s="168"/>
      <c r="AO12" s="168"/>
      <c r="AP12" s="195"/>
      <c r="AQ12" s="154"/>
      <c r="AR12" s="154"/>
      <c r="AS12" s="169"/>
      <c r="AT12" s="170"/>
      <c r="AU12" s="170"/>
      <c r="AV12" s="196"/>
      <c r="AW12" s="171"/>
      <c r="AX12" s="171"/>
    </row>
    <row r="13" spans="1:50" s="125" customFormat="1" ht="27">
      <c r="A13" s="126"/>
      <c r="B13" s="127"/>
      <c r="C13" s="126" t="s">
        <v>31</v>
      </c>
      <c r="D13" s="126"/>
      <c r="E13" s="171"/>
      <c r="F13" s="171"/>
      <c r="G13" s="197">
        <v>389620</v>
      </c>
      <c r="H13" s="173">
        <f>G13/H$7</f>
        <v>5169.7394696512329</v>
      </c>
      <c r="I13" s="198">
        <f>G13/I$7</f>
        <v>15.284010670014123</v>
      </c>
      <c r="J13" s="199">
        <f>G13/G$17</f>
        <v>0.98170082648919388</v>
      </c>
      <c r="K13" s="171"/>
      <c r="L13" s="200">
        <f>$N$7*N13</f>
        <v>271748.82</v>
      </c>
      <c r="M13" s="175">
        <f>L13/M7</f>
        <v>6628.02</v>
      </c>
      <c r="N13" s="201">
        <v>473.43</v>
      </c>
      <c r="O13" s="202">
        <f>L13/L$17</f>
        <v>0.95421838693237282</v>
      </c>
      <c r="P13" s="171"/>
      <c r="Q13" s="203">
        <f>S7*S13</f>
        <v>1216.05</v>
      </c>
      <c r="R13" s="177">
        <f>Q13/R$7</f>
        <v>1216.05</v>
      </c>
      <c r="S13" s="204">
        <v>605</v>
      </c>
      <c r="T13" s="205">
        <f>Q13/Q$17</f>
        <v>0.98781527963933224</v>
      </c>
      <c r="U13" s="171"/>
      <c r="V13" s="206">
        <f>X7*X13</f>
        <v>1417.6624000000002</v>
      </c>
      <c r="W13" s="179">
        <f>V13/W$7</f>
        <v>1417.6624000000002</v>
      </c>
      <c r="X13" s="207">
        <v>348.32</v>
      </c>
      <c r="Y13" s="208">
        <f>V13/V$17</f>
        <v>0.99782509605473835</v>
      </c>
      <c r="Z13" s="171"/>
      <c r="AA13" s="209">
        <f>AC7*AC13</f>
        <v>1116.5550000000001</v>
      </c>
      <c r="AB13" s="181">
        <f>AA13/AB$7</f>
        <v>1116.5550000000001</v>
      </c>
      <c r="AC13" s="210">
        <v>151.5</v>
      </c>
      <c r="AD13" s="211">
        <f>AA13/AA$17</f>
        <v>0.9911233805717431</v>
      </c>
      <c r="AE13" s="171"/>
      <c r="AF13" s="212">
        <v>859474</v>
      </c>
      <c r="AG13" s="183">
        <f>AF13/AG$7</f>
        <v>930.16666666666663</v>
      </c>
      <c r="AH13" s="213">
        <f>AF13/AF$17</f>
        <v>0.9407511350650829</v>
      </c>
      <c r="AI13" s="183"/>
      <c r="AJ13" s="171"/>
      <c r="AK13" s="126"/>
      <c r="AL13" s="171"/>
      <c r="AM13" s="214">
        <f>AO13*AO7</f>
        <v>7200</v>
      </c>
      <c r="AN13" s="185">
        <f>AM13/AN$7</f>
        <v>7200</v>
      </c>
      <c r="AO13" s="215">
        <v>150</v>
      </c>
      <c r="AP13" s="216">
        <f>AM13/AM$17</f>
        <v>1</v>
      </c>
      <c r="AQ13" s="171"/>
      <c r="AR13" s="171"/>
      <c r="AS13" s="217">
        <f>AU13*AU7</f>
        <v>6750</v>
      </c>
      <c r="AT13" s="187">
        <f>AS13/AT$7</f>
        <v>6750</v>
      </c>
      <c r="AU13" s="218">
        <v>150</v>
      </c>
      <c r="AV13" s="219">
        <f>AS13/AS$17</f>
        <v>0.96358257431577066</v>
      </c>
      <c r="AW13" s="171"/>
      <c r="AX13" s="171"/>
    </row>
    <row r="14" spans="1:50" s="125" customFormat="1" ht="27">
      <c r="A14" s="126"/>
      <c r="B14" s="127"/>
      <c r="C14" s="126" t="s">
        <v>32</v>
      </c>
      <c r="D14" s="126"/>
      <c r="E14" s="171"/>
      <c r="F14" s="171"/>
      <c r="G14" s="220">
        <f>H7*H14</f>
        <v>7262.6239999999989</v>
      </c>
      <c r="H14" s="173">
        <f>(H13-H28-H31)*3.2%</f>
        <v>96.36536611579568</v>
      </c>
      <c r="I14" s="198">
        <f>G14/I$7</f>
        <v>0.28489816412992308</v>
      </c>
      <c r="J14" s="199">
        <f>G14/G$17</f>
        <v>1.8299173510806052E-2</v>
      </c>
      <c r="K14" s="171"/>
      <c r="L14" s="200">
        <f>$M$7*M14</f>
        <v>10250</v>
      </c>
      <c r="M14" s="175">
        <v>250</v>
      </c>
      <c r="N14" s="201">
        <f>L14/N$7</f>
        <v>17.857142857142858</v>
      </c>
      <c r="O14" s="202">
        <f>L14/L$17</f>
        <v>3.5991834172662905E-2</v>
      </c>
      <c r="P14" s="171"/>
      <c r="Q14" s="221">
        <f>$R$7*R14</f>
        <v>0</v>
      </c>
      <c r="R14" s="222">
        <v>0</v>
      </c>
      <c r="S14" s="204">
        <f>Q14/S$7</f>
        <v>0</v>
      </c>
      <c r="T14" s="205">
        <f>Q14/Q$17</f>
        <v>0</v>
      </c>
      <c r="U14" s="171"/>
      <c r="V14" s="223">
        <f>$W$7*W14</f>
        <v>0</v>
      </c>
      <c r="W14" s="179">
        <v>0</v>
      </c>
      <c r="X14" s="207">
        <f>V14/X$7</f>
        <v>0</v>
      </c>
      <c r="Y14" s="208">
        <f>V14/V$17</f>
        <v>0</v>
      </c>
      <c r="Z14" s="171"/>
      <c r="AA14" s="224">
        <f>$AB$7*AB14</f>
        <v>0</v>
      </c>
      <c r="AB14" s="181">
        <v>0</v>
      </c>
      <c r="AC14" s="210">
        <f>AA14/AC$7</f>
        <v>0</v>
      </c>
      <c r="AD14" s="211">
        <f>AA14/AA$17</f>
        <v>0</v>
      </c>
      <c r="AE14" s="171"/>
      <c r="AF14" s="225">
        <f>2587+13498</f>
        <v>16085</v>
      </c>
      <c r="AG14" s="183">
        <f>AF14/AG$7</f>
        <v>17.408008658008658</v>
      </c>
      <c r="AH14" s="213">
        <f>AF14/AF$17</f>
        <v>1.7606096295550371E-2</v>
      </c>
      <c r="AI14" s="183"/>
      <c r="AJ14" s="171"/>
      <c r="AK14" s="126"/>
      <c r="AL14" s="171"/>
      <c r="AM14" s="226">
        <f>AN$7*AN14</f>
        <v>0</v>
      </c>
      <c r="AN14" s="185">
        <v>0</v>
      </c>
      <c r="AO14" s="227">
        <f>AM14/AO$7</f>
        <v>0</v>
      </c>
      <c r="AP14" s="216">
        <f>AM14/AM$17</f>
        <v>0</v>
      </c>
      <c r="AQ14" s="171"/>
      <c r="AR14" s="171"/>
      <c r="AS14" s="217">
        <f>AT$7*AT14</f>
        <v>255.108</v>
      </c>
      <c r="AT14" s="187">
        <f>(AT13-AT22)*4.2%</f>
        <v>255.108</v>
      </c>
      <c r="AU14" s="218">
        <f>AS14/AU$7</f>
        <v>5.6690666666666667</v>
      </c>
      <c r="AV14" s="219">
        <f>AS14/AS$17</f>
        <v>3.6417425684229281E-2</v>
      </c>
      <c r="AW14" s="171"/>
      <c r="AX14" s="171"/>
    </row>
    <row r="15" spans="1:50" s="125" customFormat="1" ht="27">
      <c r="A15" s="126"/>
      <c r="B15" s="127"/>
      <c r="C15" s="126" t="s">
        <v>33</v>
      </c>
      <c r="D15" s="126"/>
      <c r="E15" s="171"/>
      <c r="F15" s="171"/>
      <c r="G15" s="220">
        <f>H$7*H15</f>
        <v>0</v>
      </c>
      <c r="H15" s="173">
        <v>0</v>
      </c>
      <c r="I15" s="173">
        <f>G15/I$7</f>
        <v>0</v>
      </c>
      <c r="J15" s="199">
        <f>G15/G$17</f>
        <v>0</v>
      </c>
      <c r="K15" s="171"/>
      <c r="L15" s="200">
        <f>$M$7*M15</f>
        <v>2788</v>
      </c>
      <c r="M15" s="175">
        <v>68</v>
      </c>
      <c r="N15" s="201">
        <f>L15/N$7</f>
        <v>4.8571428571428568</v>
      </c>
      <c r="O15" s="202">
        <f>L15/L$17</f>
        <v>9.78977889496431E-3</v>
      </c>
      <c r="P15" s="171"/>
      <c r="Q15" s="221">
        <f>$R$7*R15</f>
        <v>15</v>
      </c>
      <c r="R15" s="177">
        <f>15</f>
        <v>15</v>
      </c>
      <c r="S15" s="204">
        <f>Q15/S$7</f>
        <v>7.4626865671641802</v>
      </c>
      <c r="T15" s="205">
        <f>Q15/Q$17</f>
        <v>1.2184720360667723E-2</v>
      </c>
      <c r="U15" s="171"/>
      <c r="V15" s="223">
        <f>$W$7*W15</f>
        <v>3.09</v>
      </c>
      <c r="W15" s="179">
        <v>3.09</v>
      </c>
      <c r="X15" s="207">
        <f>V15/X$7</f>
        <v>0.75921375921375911</v>
      </c>
      <c r="Y15" s="208">
        <f>V15/V$17</f>
        <v>2.1749039452616794E-3</v>
      </c>
      <c r="Z15" s="171"/>
      <c r="AA15" s="224">
        <f>$AB$7*AB15</f>
        <v>10</v>
      </c>
      <c r="AB15" s="181">
        <v>10</v>
      </c>
      <c r="AC15" s="210">
        <f>AA15/AC$7</f>
        <v>1.3568521031207599</v>
      </c>
      <c r="AD15" s="211">
        <f>AA15/AA$17</f>
        <v>8.8766194282569426E-3</v>
      </c>
      <c r="AE15" s="171"/>
      <c r="AF15" s="225">
        <f>38045</f>
        <v>38045</v>
      </c>
      <c r="AG15" s="183">
        <f>AF15/AG$7</f>
        <v>41.174242424242422</v>
      </c>
      <c r="AH15" s="213">
        <f>AF15/AF$17</f>
        <v>4.164276863936673E-2</v>
      </c>
      <c r="AI15" s="183"/>
      <c r="AJ15" s="171"/>
      <c r="AK15" s="126"/>
      <c r="AL15" s="171"/>
      <c r="AM15" s="226">
        <f>AN$7*AN15</f>
        <v>0</v>
      </c>
      <c r="AN15" s="185">
        <v>0</v>
      </c>
      <c r="AO15" s="227">
        <f>AM15/AO$7</f>
        <v>0</v>
      </c>
      <c r="AP15" s="216">
        <f>AM15/AM$17</f>
        <v>0</v>
      </c>
      <c r="AQ15" s="171"/>
      <c r="AR15" s="171"/>
      <c r="AS15" s="217">
        <f t="shared" ref="AS15" si="0">AT$7*AT15</f>
        <v>0</v>
      </c>
      <c r="AT15" s="187">
        <v>0</v>
      </c>
      <c r="AU15" s="229">
        <f>AS15/AU$7</f>
        <v>0</v>
      </c>
      <c r="AV15" s="219">
        <f>AS15/AS$17</f>
        <v>0</v>
      </c>
      <c r="AW15" s="171"/>
      <c r="AX15" s="171"/>
    </row>
    <row r="16" spans="1:50" s="125" customFormat="1" ht="27">
      <c r="A16" s="126"/>
      <c r="B16" s="127"/>
      <c r="C16" s="126"/>
      <c r="D16" s="126"/>
      <c r="E16" s="154"/>
      <c r="F16" s="154"/>
      <c r="G16" s="155"/>
      <c r="H16" s="156"/>
      <c r="I16" s="230"/>
      <c r="J16" s="189"/>
      <c r="K16" s="154"/>
      <c r="L16" s="157"/>
      <c r="M16" s="158"/>
      <c r="N16" s="231"/>
      <c r="O16" s="190"/>
      <c r="P16" s="154"/>
      <c r="Q16" s="159"/>
      <c r="R16" s="160"/>
      <c r="S16" s="232"/>
      <c r="T16" s="191"/>
      <c r="U16" s="154"/>
      <c r="V16" s="161"/>
      <c r="W16" s="162"/>
      <c r="X16" s="233"/>
      <c r="Y16" s="192"/>
      <c r="Z16" s="154"/>
      <c r="AA16" s="163"/>
      <c r="AB16" s="164"/>
      <c r="AC16" s="234"/>
      <c r="AD16" s="193"/>
      <c r="AE16" s="154"/>
      <c r="AF16" s="165"/>
      <c r="AG16" s="166"/>
      <c r="AH16" s="194"/>
      <c r="AI16" s="166"/>
      <c r="AJ16" s="154"/>
      <c r="AK16" s="126"/>
      <c r="AL16" s="154"/>
      <c r="AM16" s="167"/>
      <c r="AN16" s="168"/>
      <c r="AO16" s="235"/>
      <c r="AP16" s="195"/>
      <c r="AQ16" s="154"/>
      <c r="AR16" s="154"/>
      <c r="AS16" s="169"/>
      <c r="AT16" s="170"/>
      <c r="AU16" s="236"/>
      <c r="AV16" s="196"/>
      <c r="AW16" s="154"/>
      <c r="AX16" s="154"/>
    </row>
    <row r="17" spans="1:50" s="125" customFormat="1" ht="27">
      <c r="A17" s="128"/>
      <c r="B17" s="237"/>
      <c r="C17" s="238" t="s">
        <v>34</v>
      </c>
      <c r="D17" s="128"/>
      <c r="E17" s="239"/>
      <c r="F17" s="239"/>
      <c r="G17" s="240">
        <f>SUM(G13:G16)</f>
        <v>396882.62400000001</v>
      </c>
      <c r="H17" s="241">
        <f>SUM(H13:H16)</f>
        <v>5266.1048357670288</v>
      </c>
      <c r="I17" s="242">
        <f>SUM(I13:I16)</f>
        <v>15.568908834144047</v>
      </c>
      <c r="J17" s="243">
        <f>G17/G$17</f>
        <v>1</v>
      </c>
      <c r="K17" s="239"/>
      <c r="L17" s="244">
        <f>SUM(L13:L16)</f>
        <v>284786.82</v>
      </c>
      <c r="M17" s="245">
        <f>SUM(M13:M16)</f>
        <v>6946.02</v>
      </c>
      <c r="N17" s="246">
        <f>SUM(N13:N16)</f>
        <v>496.14428571428567</v>
      </c>
      <c r="O17" s="247">
        <f>L17/L$17</f>
        <v>1</v>
      </c>
      <c r="P17" s="239"/>
      <c r="Q17" s="248">
        <f>SUM(Q13:Q16)</f>
        <v>1231.05</v>
      </c>
      <c r="R17" s="249">
        <f>SUM(R13:R16)</f>
        <v>1231.05</v>
      </c>
      <c r="S17" s="250">
        <f>SUM(S13:S16)</f>
        <v>612.46268656716416</v>
      </c>
      <c r="T17" s="251">
        <f>Q17/Q$17</f>
        <v>1</v>
      </c>
      <c r="U17" s="239"/>
      <c r="V17" s="252">
        <f>SUM(V13:V16)</f>
        <v>1420.7524000000001</v>
      </c>
      <c r="W17" s="253">
        <f>SUM(W13:W16)</f>
        <v>1420.7524000000001</v>
      </c>
      <c r="X17" s="254">
        <f>SUM(X13:X16)</f>
        <v>349.07921375921376</v>
      </c>
      <c r="Y17" s="255">
        <f>V17/V$17</f>
        <v>1</v>
      </c>
      <c r="Z17" s="239"/>
      <c r="AA17" s="256">
        <f>SUM(AA13:AA16)</f>
        <v>1126.5550000000001</v>
      </c>
      <c r="AB17" s="257">
        <f>SUM(AB13:AB16)</f>
        <v>1126.5550000000001</v>
      </c>
      <c r="AC17" s="258">
        <f>SUM(AC13:AC16)</f>
        <v>152.85685210312076</v>
      </c>
      <c r="AD17" s="259">
        <f>AA17/AA$17</f>
        <v>1</v>
      </c>
      <c r="AE17" s="239"/>
      <c r="AF17" s="260">
        <f>SUM(AF13:AF16)</f>
        <v>913604</v>
      </c>
      <c r="AG17" s="261">
        <f>SUM(AG13:AG16)</f>
        <v>988.74891774891762</v>
      </c>
      <c r="AH17" s="262">
        <f>AF17/AF$17</f>
        <v>1</v>
      </c>
      <c r="AI17" s="263"/>
      <c r="AJ17" s="239"/>
      <c r="AK17" s="128"/>
      <c r="AL17" s="239"/>
      <c r="AM17" s="264">
        <f>SUM(AM13:AM16)</f>
        <v>7200</v>
      </c>
      <c r="AN17" s="265">
        <f>SUM(AN13:AN16)</f>
        <v>7200</v>
      </c>
      <c r="AO17" s="266">
        <f>SUM(AO13:AO16)</f>
        <v>150</v>
      </c>
      <c r="AP17" s="267">
        <f>AM17/AM$17</f>
        <v>1</v>
      </c>
      <c r="AQ17" s="239"/>
      <c r="AR17" s="239"/>
      <c r="AS17" s="268">
        <f>SUM(AS13:AS16)</f>
        <v>7005.1080000000002</v>
      </c>
      <c r="AT17" s="269">
        <f>SUM(AT13:AT16)</f>
        <v>7005.1080000000002</v>
      </c>
      <c r="AU17" s="270">
        <f>SUM(AU13:AU16)</f>
        <v>155.66906666666668</v>
      </c>
      <c r="AV17" s="271">
        <f>AS17/AS$17</f>
        <v>1</v>
      </c>
      <c r="AW17" s="239"/>
      <c r="AX17" s="239"/>
    </row>
    <row r="18" spans="1:50" s="125" customFormat="1" ht="27">
      <c r="A18" s="154"/>
      <c r="B18" s="272"/>
      <c r="C18" s="273"/>
      <c r="D18" s="154"/>
      <c r="E18" s="239"/>
      <c r="F18" s="239"/>
      <c r="G18" s="274"/>
      <c r="H18" s="275"/>
      <c r="I18" s="276"/>
      <c r="J18" s="277"/>
      <c r="K18" s="239"/>
      <c r="L18" s="278"/>
      <c r="M18" s="279"/>
      <c r="N18" s="280"/>
      <c r="O18" s="281"/>
      <c r="P18" s="239"/>
      <c r="Q18" s="282"/>
      <c r="R18" s="283"/>
      <c r="S18" s="284"/>
      <c r="T18" s="285"/>
      <c r="U18" s="239"/>
      <c r="V18" s="286"/>
      <c r="W18" s="287"/>
      <c r="X18" s="288"/>
      <c r="Y18" s="289"/>
      <c r="Z18" s="239"/>
      <c r="AA18" s="290"/>
      <c r="AB18" s="291"/>
      <c r="AC18" s="292"/>
      <c r="AD18" s="293"/>
      <c r="AE18" s="239"/>
      <c r="AF18" s="294"/>
      <c r="AG18" s="263"/>
      <c r="AH18" s="295"/>
      <c r="AI18" s="263"/>
      <c r="AJ18" s="239"/>
      <c r="AK18" s="154"/>
      <c r="AL18" s="239"/>
      <c r="AM18" s="296"/>
      <c r="AN18" s="297"/>
      <c r="AO18" s="298"/>
      <c r="AP18" s="299"/>
      <c r="AQ18" s="239"/>
      <c r="AR18" s="239"/>
      <c r="AS18" s="300"/>
      <c r="AT18" s="301"/>
      <c r="AU18" s="302"/>
      <c r="AV18" s="303"/>
      <c r="AW18" s="239"/>
      <c r="AX18" s="239"/>
    </row>
    <row r="19" spans="1:50" s="125" customFormat="1" ht="27">
      <c r="A19" s="126"/>
      <c r="B19" s="127"/>
      <c r="C19" s="188" t="s">
        <v>35</v>
      </c>
      <c r="D19" s="126"/>
      <c r="E19" s="171"/>
      <c r="F19" s="171"/>
      <c r="G19" s="304"/>
      <c r="H19" s="173"/>
      <c r="I19" s="198"/>
      <c r="J19" s="305"/>
      <c r="K19" s="171"/>
      <c r="L19" s="306"/>
      <c r="M19" s="175"/>
      <c r="N19" s="201"/>
      <c r="O19" s="307"/>
      <c r="P19" s="171"/>
      <c r="Q19" s="308"/>
      <c r="R19" s="177"/>
      <c r="S19" s="204"/>
      <c r="T19" s="309"/>
      <c r="U19" s="171"/>
      <c r="V19" s="310"/>
      <c r="W19" s="179"/>
      <c r="X19" s="207"/>
      <c r="Y19" s="311"/>
      <c r="Z19" s="171"/>
      <c r="AA19" s="312"/>
      <c r="AB19" s="181"/>
      <c r="AC19" s="210"/>
      <c r="AD19" s="313"/>
      <c r="AE19" s="171"/>
      <c r="AF19" s="314"/>
      <c r="AG19" s="183"/>
      <c r="AH19" s="315"/>
      <c r="AI19" s="183"/>
      <c r="AJ19" s="171"/>
      <c r="AK19" s="126"/>
      <c r="AL19" s="171"/>
      <c r="AM19" s="316"/>
      <c r="AN19" s="185"/>
      <c r="AO19" s="228"/>
      <c r="AP19" s="317"/>
      <c r="AQ19" s="171"/>
      <c r="AR19" s="171"/>
      <c r="AS19" s="318"/>
      <c r="AT19" s="187"/>
      <c r="AU19" s="218"/>
      <c r="AV19" s="319"/>
      <c r="AW19" s="171"/>
      <c r="AX19" s="171"/>
    </row>
    <row r="20" spans="1:50" s="125" customFormat="1" ht="27">
      <c r="A20" s="126"/>
      <c r="B20" s="127"/>
      <c r="C20" s="126"/>
      <c r="D20" s="126"/>
      <c r="E20" s="171"/>
      <c r="F20" s="171"/>
      <c r="G20" s="304"/>
      <c r="H20" s="173"/>
      <c r="I20" s="198"/>
      <c r="J20" s="305"/>
      <c r="K20" s="171"/>
      <c r="L20" s="306"/>
      <c r="M20" s="175"/>
      <c r="N20" s="201"/>
      <c r="O20" s="307"/>
      <c r="P20" s="171"/>
      <c r="Q20" s="308"/>
      <c r="R20" s="177"/>
      <c r="S20" s="204"/>
      <c r="T20" s="309"/>
      <c r="U20" s="171"/>
      <c r="V20" s="310"/>
      <c r="W20" s="179"/>
      <c r="X20" s="207"/>
      <c r="Y20" s="311"/>
      <c r="Z20" s="171"/>
      <c r="AA20" s="312"/>
      <c r="AB20" s="181"/>
      <c r="AC20" s="210"/>
      <c r="AD20" s="313"/>
      <c r="AE20" s="171"/>
      <c r="AF20" s="314"/>
      <c r="AG20" s="183"/>
      <c r="AH20" s="315"/>
      <c r="AI20" s="183"/>
      <c r="AJ20" s="171"/>
      <c r="AK20" s="126"/>
      <c r="AL20" s="171"/>
      <c r="AM20" s="316"/>
      <c r="AN20" s="185"/>
      <c r="AO20" s="228"/>
      <c r="AP20" s="317"/>
      <c r="AQ20" s="171"/>
      <c r="AR20" s="171"/>
      <c r="AS20" s="318"/>
      <c r="AT20" s="187"/>
      <c r="AU20" s="218"/>
      <c r="AV20" s="319"/>
      <c r="AW20" s="171"/>
      <c r="AX20" s="171"/>
    </row>
    <row r="21" spans="1:50" s="125" customFormat="1" ht="27">
      <c r="A21" s="126"/>
      <c r="B21" s="127"/>
      <c r="C21" s="320" t="s">
        <v>36</v>
      </c>
      <c r="D21" s="126"/>
      <c r="E21" s="171"/>
      <c r="F21" s="171"/>
      <c r="G21" s="304"/>
      <c r="H21" s="173"/>
      <c r="I21" s="198"/>
      <c r="J21" s="305"/>
      <c r="K21" s="171"/>
      <c r="L21" s="306"/>
      <c r="M21" s="175"/>
      <c r="N21" s="201"/>
      <c r="O21" s="307"/>
      <c r="P21" s="171"/>
      <c r="Q21" s="308"/>
      <c r="R21" s="177"/>
      <c r="S21" s="204"/>
      <c r="T21" s="309"/>
      <c r="U21" s="171"/>
      <c r="V21" s="310"/>
      <c r="W21" s="179"/>
      <c r="X21" s="207"/>
      <c r="Y21" s="311"/>
      <c r="Z21" s="171"/>
      <c r="AA21" s="312"/>
      <c r="AB21" s="181"/>
      <c r="AC21" s="210"/>
      <c r="AD21" s="313"/>
      <c r="AE21" s="171"/>
      <c r="AF21" s="314"/>
      <c r="AG21" s="183"/>
      <c r="AH21" s="315"/>
      <c r="AI21" s="183"/>
      <c r="AJ21" s="171"/>
      <c r="AK21" s="126"/>
      <c r="AL21" s="171"/>
      <c r="AM21" s="316"/>
      <c r="AN21" s="185"/>
      <c r="AO21" s="228"/>
      <c r="AP21" s="317"/>
      <c r="AQ21" s="171"/>
      <c r="AR21" s="171"/>
      <c r="AS21" s="318"/>
      <c r="AT21" s="187"/>
      <c r="AU21" s="218"/>
      <c r="AV21" s="319"/>
      <c r="AW21" s="171"/>
      <c r="AX21" s="171"/>
    </row>
    <row r="22" spans="1:50" s="125" customFormat="1" ht="27">
      <c r="A22" s="126"/>
      <c r="B22" s="127"/>
      <c r="C22" s="126" t="s">
        <v>37</v>
      </c>
      <c r="D22" s="126"/>
      <c r="E22" s="171"/>
      <c r="F22" s="171"/>
      <c r="G22" s="220">
        <f>40138</f>
        <v>40138</v>
      </c>
      <c r="H22" s="173">
        <f>G22/H$7</f>
        <v>532.57790368271958</v>
      </c>
      <c r="I22" s="198">
        <f>G22/I$7</f>
        <v>1.574533186882159</v>
      </c>
      <c r="J22" s="321">
        <f>G22/G$17</f>
        <v>0.10113317533397481</v>
      </c>
      <c r="K22" s="171"/>
      <c r="L22" s="200">
        <f>$M$7*M22</f>
        <v>7427.1500000000005</v>
      </c>
      <c r="M22" s="175">
        <v>181.15</v>
      </c>
      <c r="N22" s="201">
        <f>L22/N$7</f>
        <v>12.939285714285715</v>
      </c>
      <c r="O22" s="322">
        <f>L22/L$17</f>
        <v>2.6079683041511544E-2</v>
      </c>
      <c r="P22" s="171"/>
      <c r="Q22" s="221">
        <f>$R$7*R22</f>
        <v>319</v>
      </c>
      <c r="R22" s="177">
        <v>319</v>
      </c>
      <c r="S22" s="204">
        <f>Q22/S$7</f>
        <v>158.70646766169156</v>
      </c>
      <c r="T22" s="323">
        <f>Q22/Q$17</f>
        <v>0.25912838633686691</v>
      </c>
      <c r="U22" s="171"/>
      <c r="V22" s="223">
        <f>$W$7*W22</f>
        <v>314</v>
      </c>
      <c r="W22" s="179">
        <v>314</v>
      </c>
      <c r="X22" s="207">
        <f>V22/X$7</f>
        <v>77.149877149877142</v>
      </c>
      <c r="Y22" s="324">
        <f>V22/V$17</f>
        <v>0.22100965657351695</v>
      </c>
      <c r="Z22" s="171"/>
      <c r="AA22" s="224">
        <f>$AB$7*AB22</f>
        <v>124.53</v>
      </c>
      <c r="AB22" s="181">
        <v>124.53</v>
      </c>
      <c r="AC22" s="210">
        <f>AA22/AC$7</f>
        <v>16.896879240162821</v>
      </c>
      <c r="AD22" s="325">
        <f>AA22/AA$17</f>
        <v>0.11054054174008369</v>
      </c>
      <c r="AE22" s="171"/>
      <c r="AF22" s="225">
        <f>203228</f>
        <v>203228</v>
      </c>
      <c r="AG22" s="183">
        <f>AF22/AG$7</f>
        <v>219.94372294372295</v>
      </c>
      <c r="AH22" s="326">
        <f>AF22/AF$17</f>
        <v>0.22244648666161707</v>
      </c>
      <c r="AI22" s="183"/>
      <c r="AJ22" s="171"/>
      <c r="AK22" s="126"/>
      <c r="AL22" s="171"/>
      <c r="AM22" s="226">
        <f>AN$7*AN22</f>
        <v>876</v>
      </c>
      <c r="AN22" s="185">
        <v>876</v>
      </c>
      <c r="AO22" s="228">
        <f>AM22/AO$7</f>
        <v>18.25</v>
      </c>
      <c r="AP22" s="327">
        <f>AM22/AM$17</f>
        <v>0.12166666666666667</v>
      </c>
      <c r="AQ22" s="171"/>
      <c r="AR22" s="171"/>
      <c r="AS22" s="217">
        <f>AT$7*AT22</f>
        <v>676</v>
      </c>
      <c r="AT22" s="187">
        <v>676</v>
      </c>
      <c r="AU22" s="218">
        <f>AS22/AU$7</f>
        <v>15.022222222222222</v>
      </c>
      <c r="AV22" s="328">
        <f>AS22/AS$17</f>
        <v>9.6501010405549772E-2</v>
      </c>
      <c r="AW22" s="171"/>
      <c r="AX22" s="171"/>
    </row>
    <row r="23" spans="1:50" s="125" customFormat="1" ht="27">
      <c r="A23" s="126"/>
      <c r="B23" s="127"/>
      <c r="C23" s="126" t="s">
        <v>38</v>
      </c>
      <c r="D23" s="126"/>
      <c r="E23" s="171"/>
      <c r="F23" s="171"/>
      <c r="G23" s="220">
        <f>53473</f>
        <v>53473</v>
      </c>
      <c r="H23" s="173">
        <f>G23/H$7</f>
        <v>709.51562717689126</v>
      </c>
      <c r="I23" s="198">
        <f>G23/I$7</f>
        <v>2.0976384748156285</v>
      </c>
      <c r="J23" s="321">
        <f>G23/G$17</f>
        <v>0.13473252988772821</v>
      </c>
      <c r="K23" s="171"/>
      <c r="L23" s="200">
        <f t="shared" ref="L23:L26" si="1">$M$7*M23</f>
        <v>9070.84</v>
      </c>
      <c r="M23" s="175">
        <f>161.77+59.47</f>
        <v>221.24</v>
      </c>
      <c r="N23" s="201">
        <f>L23/N$7</f>
        <v>15.802857142857142</v>
      </c>
      <c r="O23" s="322">
        <f>L23/L$17</f>
        <v>3.1851333569439769E-2</v>
      </c>
      <c r="P23" s="171"/>
      <c r="Q23" s="221">
        <f t="shared" ref="Q23:Q26" si="2">$R$7*R23</f>
        <v>100.6</v>
      </c>
      <c r="R23" s="177">
        <v>100.6</v>
      </c>
      <c r="S23" s="204">
        <f>Q23/S$7</f>
        <v>50.049751243781095</v>
      </c>
      <c r="T23" s="323">
        <f>Q23/Q$17</f>
        <v>8.1718857885544852E-2</v>
      </c>
      <c r="U23" s="171"/>
      <c r="V23" s="223">
        <f t="shared" ref="V23:V26" si="3">$W$7*W23</f>
        <v>136.41</v>
      </c>
      <c r="W23" s="179">
        <v>136.41</v>
      </c>
      <c r="X23" s="207">
        <f>V23/X$7</f>
        <v>33.515970515970515</v>
      </c>
      <c r="Y23" s="324">
        <f>V23/V$17</f>
        <v>9.6012507175775308E-2</v>
      </c>
      <c r="Z23" s="171"/>
      <c r="AA23" s="224">
        <f t="shared" ref="AA23:AA26" si="4">$AB$7*AB23</f>
        <v>196.05</v>
      </c>
      <c r="AB23" s="181">
        <v>196.05</v>
      </c>
      <c r="AC23" s="210">
        <f>AA23/AC$7</f>
        <v>26.6010854816825</v>
      </c>
      <c r="AD23" s="325">
        <f>AA23/AA$17</f>
        <v>0.17402612389097735</v>
      </c>
      <c r="AE23" s="171"/>
      <c r="AF23" s="225">
        <v>0</v>
      </c>
      <c r="AG23" s="183">
        <f t="shared" ref="AG23:AG26" si="5">AF23/AG$7</f>
        <v>0</v>
      </c>
      <c r="AH23" s="213">
        <f>AF23/AF$17</f>
        <v>0</v>
      </c>
      <c r="AI23" s="183"/>
      <c r="AJ23" s="171"/>
      <c r="AK23" s="126"/>
      <c r="AL23" s="171"/>
      <c r="AM23" s="226">
        <f>AN$7*AN23</f>
        <v>485</v>
      </c>
      <c r="AN23" s="185">
        <v>485</v>
      </c>
      <c r="AO23" s="228">
        <f>AM23/AO$7</f>
        <v>10.104166666666666</v>
      </c>
      <c r="AP23" s="327">
        <f>AM23/AM$17</f>
        <v>6.7361111111111108E-2</v>
      </c>
      <c r="AQ23" s="171"/>
      <c r="AR23" s="171"/>
      <c r="AS23" s="217">
        <f t="shared" ref="AS23:AS26" si="6">AT$7*AT23</f>
        <v>652</v>
      </c>
      <c r="AT23" s="187">
        <v>652</v>
      </c>
      <c r="AU23" s="218">
        <f>AS23/AU$7</f>
        <v>14.488888888888889</v>
      </c>
      <c r="AV23" s="328">
        <f>AS23/AS$17</f>
        <v>9.307493903020482E-2</v>
      </c>
      <c r="AW23" s="171"/>
      <c r="AX23" s="171"/>
    </row>
    <row r="24" spans="1:50" s="125" customFormat="1" ht="27">
      <c r="A24" s="126"/>
      <c r="B24" s="127"/>
      <c r="C24" s="126" t="s">
        <v>39</v>
      </c>
      <c r="D24" s="126"/>
      <c r="E24" s="171"/>
      <c r="F24" s="171"/>
      <c r="G24" s="220">
        <v>39173</v>
      </c>
      <c r="H24" s="173">
        <f>G24/H$7</f>
        <v>519.77363647822949</v>
      </c>
      <c r="I24" s="198">
        <f>G24/I$7</f>
        <v>1.5366781735446415</v>
      </c>
      <c r="J24" s="321">
        <f>G24/G$17</f>
        <v>9.8701725979316243E-2</v>
      </c>
      <c r="K24" s="171"/>
      <c r="L24" s="200">
        <f t="shared" si="1"/>
        <v>9360.3000000000011</v>
      </c>
      <c r="M24" s="175">
        <v>228.3</v>
      </c>
      <c r="N24" s="201">
        <f>L24/N$7</f>
        <v>16.30714285714286</v>
      </c>
      <c r="O24" s="322">
        <f>L24/L$17</f>
        <v>3.2867742966475766E-2</v>
      </c>
      <c r="P24" s="171"/>
      <c r="Q24" s="221">
        <f t="shared" si="2"/>
        <v>36.619999999999997</v>
      </c>
      <c r="R24" s="177">
        <v>36.619999999999997</v>
      </c>
      <c r="S24" s="204">
        <f>Q24/S$7</f>
        <v>18.218905472636816</v>
      </c>
      <c r="T24" s="323">
        <f>Q24/Q$17</f>
        <v>2.9746963973843465E-2</v>
      </c>
      <c r="U24" s="171"/>
      <c r="V24" s="223">
        <f t="shared" si="3"/>
        <v>85.83</v>
      </c>
      <c r="W24" s="179">
        <v>85.83</v>
      </c>
      <c r="X24" s="207">
        <f>V24/X$7</f>
        <v>21.088452088452087</v>
      </c>
      <c r="Y24" s="324">
        <f>V24/V$17</f>
        <v>6.0411652304792868E-2</v>
      </c>
      <c r="Z24" s="171"/>
      <c r="AA24" s="224">
        <f t="shared" si="4"/>
        <v>51.5</v>
      </c>
      <c r="AB24" s="181">
        <v>51.5</v>
      </c>
      <c r="AC24" s="210">
        <f>AA24/AC$7</f>
        <v>6.9877883310719131</v>
      </c>
      <c r="AD24" s="325">
        <f>AA24/AA$17</f>
        <v>4.5714590055523252E-2</v>
      </c>
      <c r="AE24" s="171"/>
      <c r="AF24" s="225">
        <v>0</v>
      </c>
      <c r="AG24" s="183">
        <f t="shared" si="5"/>
        <v>0</v>
      </c>
      <c r="AH24" s="213">
        <f>AF24/AF$17</f>
        <v>0</v>
      </c>
      <c r="AI24" s="183"/>
      <c r="AJ24" s="171"/>
      <c r="AK24" s="126"/>
      <c r="AL24" s="171"/>
      <c r="AM24" s="226">
        <f>AN$7*AN24</f>
        <v>240</v>
      </c>
      <c r="AN24" s="185">
        <v>240</v>
      </c>
      <c r="AO24" s="228">
        <f>AM24/AO$7</f>
        <v>5</v>
      </c>
      <c r="AP24" s="327">
        <f>AM24/AM$17</f>
        <v>3.3333333333333333E-2</v>
      </c>
      <c r="AQ24" s="171"/>
      <c r="AR24" s="171"/>
      <c r="AS24" s="217">
        <f t="shared" si="6"/>
        <v>452</v>
      </c>
      <c r="AT24" s="187">
        <v>452</v>
      </c>
      <c r="AU24" s="218">
        <f>AS24/AU$7</f>
        <v>10.044444444444444</v>
      </c>
      <c r="AV24" s="328">
        <f>AS24/AS$17</f>
        <v>6.4524344235663458E-2</v>
      </c>
      <c r="AW24" s="171"/>
      <c r="AX24" s="171"/>
    </row>
    <row r="25" spans="1:50" s="125" customFormat="1" ht="27">
      <c r="A25" s="126"/>
      <c r="B25" s="127"/>
      <c r="C25" s="126" t="s">
        <v>40</v>
      </c>
      <c r="D25" s="126"/>
      <c r="E25" s="171"/>
      <c r="F25" s="171"/>
      <c r="G25" s="220">
        <f>9369+3768</f>
        <v>13137</v>
      </c>
      <c r="H25" s="173">
        <f>G25/H$7</f>
        <v>174.31052669988259</v>
      </c>
      <c r="I25" s="198">
        <f>G25/I$7</f>
        <v>0.51533814530048638</v>
      </c>
      <c r="J25" s="321">
        <f>G25/G$17</f>
        <v>3.3100466499636931E-2</v>
      </c>
      <c r="K25" s="171"/>
      <c r="L25" s="200">
        <f t="shared" si="1"/>
        <v>0</v>
      </c>
      <c r="M25" s="175">
        <v>0</v>
      </c>
      <c r="N25" s="175">
        <f>L25/N$7</f>
        <v>0</v>
      </c>
      <c r="O25" s="202">
        <f>L25/L$17</f>
        <v>0</v>
      </c>
      <c r="P25" s="171"/>
      <c r="Q25" s="221">
        <f t="shared" si="2"/>
        <v>0</v>
      </c>
      <c r="R25" s="177">
        <v>0</v>
      </c>
      <c r="S25" s="204">
        <f>Q25/S$7</f>
        <v>0</v>
      </c>
      <c r="T25" s="323">
        <f>Q25/Q$17</f>
        <v>0</v>
      </c>
      <c r="U25" s="171"/>
      <c r="V25" s="223">
        <f t="shared" si="3"/>
        <v>0</v>
      </c>
      <c r="W25" s="179">
        <v>0</v>
      </c>
      <c r="X25" s="207">
        <f>V25/X$7</f>
        <v>0</v>
      </c>
      <c r="Y25" s="324">
        <f>V25/V$17</f>
        <v>0</v>
      </c>
      <c r="Z25" s="171"/>
      <c r="AA25" s="224">
        <f t="shared" si="4"/>
        <v>0</v>
      </c>
      <c r="AB25" s="181">
        <v>0</v>
      </c>
      <c r="AC25" s="210">
        <f>AA25/AC$7</f>
        <v>0</v>
      </c>
      <c r="AD25" s="325">
        <f>AA25/AA$17</f>
        <v>0</v>
      </c>
      <c r="AE25" s="171"/>
      <c r="AF25" s="225">
        <f>4368</f>
        <v>4368</v>
      </c>
      <c r="AG25" s="183">
        <f t="shared" si="5"/>
        <v>4.7272727272727275</v>
      </c>
      <c r="AH25" s="326">
        <f>AF25/AF$17</f>
        <v>4.7810648815022703E-3</v>
      </c>
      <c r="AI25" s="183"/>
      <c r="AJ25" s="171"/>
      <c r="AK25" s="126"/>
      <c r="AL25" s="171"/>
      <c r="AM25" s="226">
        <f>AN$7*AN25</f>
        <v>0</v>
      </c>
      <c r="AN25" s="185">
        <v>0</v>
      </c>
      <c r="AO25" s="185">
        <f>AM25/AO$7</f>
        <v>0</v>
      </c>
      <c r="AP25" s="216">
        <f>AM25/AM$17</f>
        <v>0</v>
      </c>
      <c r="AQ25" s="171"/>
      <c r="AR25" s="171"/>
      <c r="AS25" s="217">
        <f t="shared" si="6"/>
        <v>22</v>
      </c>
      <c r="AT25" s="187">
        <v>22</v>
      </c>
      <c r="AU25" s="218">
        <f>AS25/AU$7</f>
        <v>0.48888888888888887</v>
      </c>
      <c r="AV25" s="328">
        <f>AS25/AS$17</f>
        <v>3.140565427399549E-3</v>
      </c>
      <c r="AW25" s="171"/>
      <c r="AX25" s="171"/>
    </row>
    <row r="26" spans="1:50" s="125" customFormat="1" ht="27">
      <c r="A26" s="126"/>
      <c r="B26" s="127"/>
      <c r="C26" s="126"/>
      <c r="D26" s="126"/>
      <c r="E26" s="171"/>
      <c r="F26" s="171"/>
      <c r="G26" s="220">
        <v>0</v>
      </c>
      <c r="H26" s="173">
        <f>G26/H$7</f>
        <v>0</v>
      </c>
      <c r="I26" s="173">
        <f>G26/I$7</f>
        <v>0</v>
      </c>
      <c r="J26" s="199">
        <f>G26/G$17</f>
        <v>0</v>
      </c>
      <c r="K26" s="171"/>
      <c r="L26" s="200">
        <f t="shared" si="1"/>
        <v>0</v>
      </c>
      <c r="M26" s="175">
        <v>0</v>
      </c>
      <c r="N26" s="175">
        <f>L26/N$7</f>
        <v>0</v>
      </c>
      <c r="O26" s="202">
        <f>L26/L$17</f>
        <v>0</v>
      </c>
      <c r="P26" s="171"/>
      <c r="Q26" s="221">
        <f t="shared" si="2"/>
        <v>0</v>
      </c>
      <c r="R26" s="177">
        <v>0</v>
      </c>
      <c r="S26" s="204">
        <f>Q26/S$7</f>
        <v>0</v>
      </c>
      <c r="T26" s="323">
        <f>Q26/Q$17</f>
        <v>0</v>
      </c>
      <c r="U26" s="171"/>
      <c r="V26" s="223">
        <f t="shared" si="3"/>
        <v>0</v>
      </c>
      <c r="W26" s="179">
        <v>0</v>
      </c>
      <c r="X26" s="207">
        <f>V26/X$7</f>
        <v>0</v>
      </c>
      <c r="Y26" s="324">
        <f>V26/V$17</f>
        <v>0</v>
      </c>
      <c r="Z26" s="171"/>
      <c r="AA26" s="224">
        <f t="shared" si="4"/>
        <v>0</v>
      </c>
      <c r="AB26" s="181">
        <v>0</v>
      </c>
      <c r="AC26" s="210">
        <f>AA26/AC$7</f>
        <v>0</v>
      </c>
      <c r="AD26" s="325">
        <f>AA26/AA$17</f>
        <v>0</v>
      </c>
      <c r="AE26" s="171"/>
      <c r="AF26" s="225"/>
      <c r="AG26" s="183">
        <f t="shared" si="5"/>
        <v>0</v>
      </c>
      <c r="AH26" s="213">
        <f>AF26/AF$17</f>
        <v>0</v>
      </c>
      <c r="AI26" s="183"/>
      <c r="AJ26" s="171"/>
      <c r="AK26" s="126"/>
      <c r="AL26" s="171"/>
      <c r="AM26" s="226">
        <f>AN$7*AN26</f>
        <v>0</v>
      </c>
      <c r="AN26" s="185">
        <v>0</v>
      </c>
      <c r="AO26" s="185">
        <f>AM26/AO$7</f>
        <v>0</v>
      </c>
      <c r="AP26" s="216">
        <f>AM26/AM$17</f>
        <v>0</v>
      </c>
      <c r="AQ26" s="171"/>
      <c r="AR26" s="171"/>
      <c r="AS26" s="217">
        <f t="shared" si="6"/>
        <v>0</v>
      </c>
      <c r="AT26" s="187">
        <v>0</v>
      </c>
      <c r="AU26" s="187">
        <f>AS26/AU$7</f>
        <v>0</v>
      </c>
      <c r="AV26" s="219">
        <f>AS26/AS$17</f>
        <v>0</v>
      </c>
      <c r="AW26" s="171"/>
      <c r="AX26" s="171"/>
    </row>
    <row r="27" spans="1:50" s="125" customFormat="1" ht="14.25" customHeight="1">
      <c r="A27" s="126"/>
      <c r="B27" s="127"/>
      <c r="C27" s="126"/>
      <c r="D27" s="126"/>
      <c r="E27" s="171"/>
      <c r="F27" s="171"/>
      <c r="G27" s="220"/>
      <c r="H27" s="173"/>
      <c r="I27" s="198"/>
      <c r="J27" s="321"/>
      <c r="K27" s="171"/>
      <c r="L27" s="329"/>
      <c r="M27" s="175"/>
      <c r="N27" s="201"/>
      <c r="O27" s="322"/>
      <c r="P27" s="171"/>
      <c r="Q27" s="221"/>
      <c r="R27" s="177"/>
      <c r="S27" s="204"/>
      <c r="T27" s="323"/>
      <c r="U27" s="171"/>
      <c r="V27" s="223"/>
      <c r="W27" s="179"/>
      <c r="X27" s="207"/>
      <c r="Y27" s="324"/>
      <c r="Z27" s="171"/>
      <c r="AA27" s="224"/>
      <c r="AB27" s="181"/>
      <c r="AC27" s="210"/>
      <c r="AD27" s="325"/>
      <c r="AE27" s="171"/>
      <c r="AF27" s="225"/>
      <c r="AG27" s="183"/>
      <c r="AH27" s="326"/>
      <c r="AI27" s="183"/>
      <c r="AJ27" s="171"/>
      <c r="AK27" s="126"/>
      <c r="AL27" s="171"/>
      <c r="AM27" s="226"/>
      <c r="AN27" s="185"/>
      <c r="AO27" s="228"/>
      <c r="AP27" s="327"/>
      <c r="AQ27" s="171"/>
      <c r="AR27" s="171"/>
      <c r="AS27" s="330"/>
      <c r="AT27" s="187"/>
      <c r="AU27" s="218"/>
      <c r="AV27" s="328"/>
      <c r="AW27" s="154"/>
      <c r="AX27" s="154"/>
    </row>
    <row r="28" spans="1:50" s="125" customFormat="1" ht="27">
      <c r="A28" s="126"/>
      <c r="B28" s="127"/>
      <c r="C28" s="273" t="s">
        <v>41</v>
      </c>
      <c r="D28" s="154"/>
      <c r="E28" s="154"/>
      <c r="F28" s="154"/>
      <c r="G28" s="331">
        <f>SUM(G21:G27)</f>
        <v>145921</v>
      </c>
      <c r="H28" s="332">
        <f>SUM(H20:H27)</f>
        <v>1936.1776940377229</v>
      </c>
      <c r="I28" s="333">
        <f>SUM(I21:I27)</f>
        <v>5.724187980542915</v>
      </c>
      <c r="J28" s="334">
        <f>G28/G$17</f>
        <v>0.36766789770065617</v>
      </c>
      <c r="K28" s="154"/>
      <c r="L28" s="335">
        <f>SUM(L21:L27)</f>
        <v>25858.29</v>
      </c>
      <c r="M28" s="336">
        <f>SUM(M20:M27)</f>
        <v>630.69000000000005</v>
      </c>
      <c r="N28" s="337">
        <f>SUM(N21:N27)</f>
        <v>45.049285714285716</v>
      </c>
      <c r="O28" s="338">
        <f>L28/L$17</f>
        <v>9.0798759577427071E-2</v>
      </c>
      <c r="P28" s="154"/>
      <c r="Q28" s="339">
        <f>SUM(Q21:Q27)</f>
        <v>456.22</v>
      </c>
      <c r="R28" s="340">
        <f>SUM(R20:R27)</f>
        <v>456.22</v>
      </c>
      <c r="S28" s="341">
        <f>SUM(S21:S27)</f>
        <v>226.97512437810946</v>
      </c>
      <c r="T28" s="342">
        <f>Q28/Q$17</f>
        <v>0.37059420819625527</v>
      </c>
      <c r="U28" s="154"/>
      <c r="V28" s="343">
        <f>SUM(V21:V27)</f>
        <v>536.24</v>
      </c>
      <c r="W28" s="344">
        <f>SUM(W20:W27)</f>
        <v>536.24</v>
      </c>
      <c r="X28" s="345">
        <f>SUM(X21:X27)</f>
        <v>131.75429975429972</v>
      </c>
      <c r="Y28" s="346">
        <f>V28/V$17</f>
        <v>0.3774338160540851</v>
      </c>
      <c r="Z28" s="154"/>
      <c r="AA28" s="347">
        <f>SUM(AA21:AA27)</f>
        <v>372.08000000000004</v>
      </c>
      <c r="AB28" s="348">
        <f>SUM(AB20:AB27)</f>
        <v>372.08000000000004</v>
      </c>
      <c r="AC28" s="349">
        <f>SUM(AC21:AC27)</f>
        <v>50.485753052917232</v>
      </c>
      <c r="AD28" s="350">
        <f>AA28/AA$17</f>
        <v>0.33028125568658434</v>
      </c>
      <c r="AE28" s="154"/>
      <c r="AF28" s="351">
        <f>SUM(AF21:AF27)</f>
        <v>207596</v>
      </c>
      <c r="AG28" s="352">
        <f>SUM(AG20:AG27)</f>
        <v>224.67099567099567</v>
      </c>
      <c r="AH28" s="353">
        <f>AF28/AF$17</f>
        <v>0.22722755154311933</v>
      </c>
      <c r="AI28" s="166"/>
      <c r="AJ28" s="154"/>
      <c r="AK28" s="154"/>
      <c r="AL28" s="154"/>
      <c r="AM28" s="354">
        <f>SUM(AM21:AM27)</f>
        <v>1601</v>
      </c>
      <c r="AN28" s="355">
        <f>SUM(AN20:AN27)</f>
        <v>1601</v>
      </c>
      <c r="AO28" s="356">
        <f>SUM(AO21:AO27)</f>
        <v>33.354166666666664</v>
      </c>
      <c r="AP28" s="357">
        <f>AM28/AM$17</f>
        <v>0.22236111111111112</v>
      </c>
      <c r="AQ28" s="154"/>
      <c r="AR28" s="154"/>
      <c r="AS28" s="358">
        <f>SUM(AS21:AS27)</f>
        <v>1802</v>
      </c>
      <c r="AT28" s="359">
        <f>SUM(AT20:AT27)</f>
        <v>1802</v>
      </c>
      <c r="AU28" s="360">
        <f>SUM(AU21:AU27)</f>
        <v>40.044444444444444</v>
      </c>
      <c r="AV28" s="361">
        <f>AS28/AS$17</f>
        <v>0.25724085909881761</v>
      </c>
      <c r="AW28" s="362"/>
      <c r="AX28" s="362"/>
    </row>
    <row r="29" spans="1:50" s="125" customFormat="1" ht="27">
      <c r="A29" s="126"/>
      <c r="B29" s="127"/>
      <c r="C29" s="126"/>
      <c r="D29" s="126"/>
      <c r="E29" s="171"/>
      <c r="F29" s="171"/>
      <c r="G29" s="304"/>
      <c r="H29" s="173"/>
      <c r="I29" s="198"/>
      <c r="J29" s="305"/>
      <c r="K29" s="171"/>
      <c r="L29" s="306"/>
      <c r="M29" s="175"/>
      <c r="N29" s="201"/>
      <c r="O29" s="307"/>
      <c r="P29" s="171"/>
      <c r="Q29" s="308"/>
      <c r="R29" s="177"/>
      <c r="S29" s="204"/>
      <c r="T29" s="309"/>
      <c r="U29" s="171"/>
      <c r="V29" s="310"/>
      <c r="W29" s="179"/>
      <c r="X29" s="207"/>
      <c r="Y29" s="311"/>
      <c r="Z29" s="171"/>
      <c r="AA29" s="312"/>
      <c r="AB29" s="181"/>
      <c r="AC29" s="210"/>
      <c r="AD29" s="313"/>
      <c r="AE29" s="171"/>
      <c r="AF29" s="314"/>
      <c r="AG29" s="183"/>
      <c r="AH29" s="315"/>
      <c r="AI29" s="183"/>
      <c r="AJ29" s="171"/>
      <c r="AK29" s="126"/>
      <c r="AL29" s="171"/>
      <c r="AM29" s="316"/>
      <c r="AN29" s="185"/>
      <c r="AO29" s="228"/>
      <c r="AP29" s="317"/>
      <c r="AQ29" s="171"/>
      <c r="AR29" s="171"/>
      <c r="AS29" s="318"/>
      <c r="AT29" s="187"/>
      <c r="AU29" s="218"/>
      <c r="AV29" s="319"/>
      <c r="AW29" s="171"/>
      <c r="AX29" s="171"/>
    </row>
    <row r="30" spans="1:50" s="125" customFormat="1" ht="27">
      <c r="A30" s="126"/>
      <c r="B30" s="127"/>
      <c r="C30" s="320" t="s">
        <v>42</v>
      </c>
      <c r="D30" s="126"/>
      <c r="E30" s="171"/>
      <c r="F30" s="171"/>
      <c r="G30" s="304"/>
      <c r="H30" s="173"/>
      <c r="I30" s="198"/>
      <c r="J30" s="305"/>
      <c r="K30" s="171"/>
      <c r="L30" s="306"/>
      <c r="M30" s="175"/>
      <c r="N30" s="201"/>
      <c r="O30" s="307"/>
      <c r="P30" s="171"/>
      <c r="Q30" s="308"/>
      <c r="R30" s="177"/>
      <c r="S30" s="204"/>
      <c r="T30" s="309"/>
      <c r="U30" s="171"/>
      <c r="V30" s="310"/>
      <c r="W30" s="179"/>
      <c r="X30" s="207"/>
      <c r="Y30" s="311"/>
      <c r="Z30" s="171"/>
      <c r="AA30" s="312"/>
      <c r="AB30" s="181"/>
      <c r="AC30" s="210"/>
      <c r="AD30" s="313"/>
      <c r="AE30" s="171"/>
      <c r="AF30" s="314"/>
      <c r="AG30" s="183"/>
      <c r="AH30" s="315"/>
      <c r="AI30" s="183"/>
      <c r="AJ30" s="171"/>
      <c r="AK30" s="126"/>
      <c r="AL30" s="171"/>
      <c r="AM30" s="316"/>
      <c r="AN30" s="185"/>
      <c r="AO30" s="228"/>
      <c r="AP30" s="317"/>
      <c r="AQ30" s="171"/>
      <c r="AR30" s="171"/>
      <c r="AS30" s="318"/>
      <c r="AT30" s="187"/>
      <c r="AU30" s="218"/>
      <c r="AV30" s="319"/>
      <c r="AW30" s="171"/>
      <c r="AX30" s="171"/>
    </row>
    <row r="31" spans="1:50" s="125" customFormat="1" ht="27">
      <c r="A31" s="126"/>
      <c r="B31" s="127"/>
      <c r="C31" s="126" t="s">
        <v>43</v>
      </c>
      <c r="D31" s="126"/>
      <c r="E31" s="171"/>
      <c r="F31" s="171"/>
      <c r="G31" s="220">
        <v>16742</v>
      </c>
      <c r="H31" s="173">
        <f t="shared" ref="H31:H39" si="7">G31/H$7</f>
        <v>222.14408449489488</v>
      </c>
      <c r="I31" s="198">
        <f t="shared" ref="I31:I39" si="8">G31/I$7</f>
        <v>0.65675506041110931</v>
      </c>
      <c r="J31" s="321">
        <f t="shared" ref="J31:J39" si="9">G31/G$17</f>
        <v>4.2183756575848483E-2</v>
      </c>
      <c r="K31" s="171"/>
      <c r="L31" s="200">
        <f t="shared" ref="L31:L39" si="10">$M$7*M31</f>
        <v>2017.2</v>
      </c>
      <c r="M31" s="175">
        <f>49.2</f>
        <v>49.2</v>
      </c>
      <c r="N31" s="201">
        <f t="shared" ref="N31:N39" si="11">L31/N$7</f>
        <v>3.5142857142857142</v>
      </c>
      <c r="O31" s="322">
        <f t="shared" ref="O31:O39" si="12">L31/L$17</f>
        <v>7.0831929651800603E-3</v>
      </c>
      <c r="P31" s="171"/>
      <c r="Q31" s="221">
        <f t="shared" ref="Q31:Q39" si="13">$R$7*R31</f>
        <v>0</v>
      </c>
      <c r="R31" s="222">
        <v>0</v>
      </c>
      <c r="S31" s="204">
        <f t="shared" ref="S31:S39" si="14">Q31/S$7</f>
        <v>0</v>
      </c>
      <c r="T31" s="323">
        <f t="shared" ref="T31:T39" si="15">Q31/Q$17</f>
        <v>0</v>
      </c>
      <c r="U31" s="171"/>
      <c r="V31" s="223">
        <f>$W$7*W31</f>
        <v>0</v>
      </c>
      <c r="W31" s="179">
        <v>0</v>
      </c>
      <c r="X31" s="207">
        <f t="shared" ref="X31:X39" si="16">V31/X$7</f>
        <v>0</v>
      </c>
      <c r="Y31" s="324">
        <f t="shared" ref="Y31:Y39" si="17">V31/V$17</f>
        <v>0</v>
      </c>
      <c r="Z31" s="171"/>
      <c r="AA31" s="224">
        <f>$AB$7*AB31</f>
        <v>0</v>
      </c>
      <c r="AB31" s="181">
        <v>0</v>
      </c>
      <c r="AC31" s="210">
        <f t="shared" ref="AC31:AC39" si="18">AA31/AC$7</f>
        <v>0</v>
      </c>
      <c r="AD31" s="325">
        <f t="shared" ref="AD31:AD39" si="19">AA31/AA$17</f>
        <v>0</v>
      </c>
      <c r="AE31" s="171"/>
      <c r="AF31" s="225">
        <f>28207+20005</f>
        <v>48212</v>
      </c>
      <c r="AG31" s="183">
        <f>AF31/AG$7</f>
        <v>52.177489177489178</v>
      </c>
      <c r="AH31" s="326">
        <f t="shared" ref="AH31:AH39" si="20">AF31/AF$17</f>
        <v>5.2771222542808478E-2</v>
      </c>
      <c r="AI31" s="183"/>
      <c r="AJ31" s="171"/>
      <c r="AK31" s="126"/>
      <c r="AL31" s="171"/>
      <c r="AM31" s="226">
        <f t="shared" ref="AM31:AM39" si="21">AN$7*AN31</f>
        <v>595</v>
      </c>
      <c r="AN31" s="185">
        <v>595</v>
      </c>
      <c r="AO31" s="228">
        <f t="shared" ref="AO31:AO39" si="22">AM31/AO$7</f>
        <v>12.395833333333334</v>
      </c>
      <c r="AP31" s="327">
        <f t="shared" ref="AP31:AP39" si="23">AM31/AM$17</f>
        <v>8.2638888888888887E-2</v>
      </c>
      <c r="AQ31" s="171"/>
      <c r="AR31" s="171"/>
      <c r="AS31" s="217">
        <f>AT$7*AT31</f>
        <v>260</v>
      </c>
      <c r="AT31" s="187">
        <v>260</v>
      </c>
      <c r="AU31" s="218">
        <f t="shared" ref="AU31:AU39" si="24">AS31/AU$7</f>
        <v>5.7777777777777777</v>
      </c>
      <c r="AV31" s="328">
        <f t="shared" ref="AV31:AV39" si="25">AS31/AS$17</f>
        <v>3.7115773232903763E-2</v>
      </c>
      <c r="AW31" s="171"/>
      <c r="AX31" s="171"/>
    </row>
    <row r="32" spans="1:50" s="125" customFormat="1" ht="27">
      <c r="A32" s="126"/>
      <c r="B32" s="127"/>
      <c r="C32" s="126" t="s">
        <v>44</v>
      </c>
      <c r="D32" s="126"/>
      <c r="E32" s="171"/>
      <c r="F32" s="171"/>
      <c r="G32" s="220">
        <v>0</v>
      </c>
      <c r="H32" s="173">
        <f t="shared" si="7"/>
        <v>0</v>
      </c>
      <c r="I32" s="173">
        <f t="shared" si="8"/>
        <v>0</v>
      </c>
      <c r="J32" s="199">
        <f t="shared" si="9"/>
        <v>0</v>
      </c>
      <c r="K32" s="171"/>
      <c r="L32" s="200">
        <f t="shared" si="10"/>
        <v>0</v>
      </c>
      <c r="M32" s="175">
        <v>0</v>
      </c>
      <c r="N32" s="175">
        <f t="shared" si="11"/>
        <v>0</v>
      </c>
      <c r="O32" s="202">
        <f t="shared" si="12"/>
        <v>0</v>
      </c>
      <c r="P32" s="171"/>
      <c r="Q32" s="221">
        <f t="shared" si="13"/>
        <v>0</v>
      </c>
      <c r="R32" s="222">
        <v>0</v>
      </c>
      <c r="S32" s="204">
        <f t="shared" si="14"/>
        <v>0</v>
      </c>
      <c r="T32" s="323">
        <f t="shared" si="15"/>
        <v>0</v>
      </c>
      <c r="U32" s="171"/>
      <c r="V32" s="223">
        <f t="shared" ref="V32:V39" si="26">$W$7*W32</f>
        <v>0</v>
      </c>
      <c r="W32" s="179">
        <v>0</v>
      </c>
      <c r="X32" s="207">
        <f t="shared" si="16"/>
        <v>0</v>
      </c>
      <c r="Y32" s="324">
        <f t="shared" si="17"/>
        <v>0</v>
      </c>
      <c r="Z32" s="171"/>
      <c r="AA32" s="224">
        <f t="shared" ref="AA32:AA39" si="27">$AB$7*AB32</f>
        <v>0</v>
      </c>
      <c r="AB32" s="181">
        <v>0</v>
      </c>
      <c r="AC32" s="210">
        <f t="shared" si="18"/>
        <v>0</v>
      </c>
      <c r="AD32" s="325">
        <f t="shared" si="19"/>
        <v>0</v>
      </c>
      <c r="AE32" s="171"/>
      <c r="AF32" s="225">
        <v>0</v>
      </c>
      <c r="AG32" s="183">
        <f t="shared" ref="AG32:AG39" si="28">AF32/AG$7</f>
        <v>0</v>
      </c>
      <c r="AH32" s="213">
        <f t="shared" si="20"/>
        <v>0</v>
      </c>
      <c r="AI32" s="183"/>
      <c r="AJ32" s="171"/>
      <c r="AK32" s="126"/>
      <c r="AL32" s="171"/>
      <c r="AM32" s="226">
        <f t="shared" si="21"/>
        <v>385</v>
      </c>
      <c r="AN32" s="185">
        <v>385</v>
      </c>
      <c r="AO32" s="228">
        <f t="shared" si="22"/>
        <v>8.0208333333333339</v>
      </c>
      <c r="AP32" s="327">
        <f t="shared" si="23"/>
        <v>5.347222222222222E-2</v>
      </c>
      <c r="AQ32" s="171"/>
      <c r="AR32" s="171"/>
      <c r="AS32" s="217">
        <f t="shared" ref="AS32:AS39" si="29">AT$7*AT32</f>
        <v>1200</v>
      </c>
      <c r="AT32" s="187">
        <v>1200</v>
      </c>
      <c r="AU32" s="218">
        <f t="shared" si="24"/>
        <v>26.666666666666668</v>
      </c>
      <c r="AV32" s="328">
        <f t="shared" si="25"/>
        <v>0.17130356876724812</v>
      </c>
      <c r="AW32" s="171"/>
      <c r="AX32" s="171"/>
    </row>
    <row r="33" spans="1:50" s="125" customFormat="1" ht="27">
      <c r="A33" s="126"/>
      <c r="B33" s="127"/>
      <c r="C33" s="126" t="s">
        <v>45</v>
      </c>
      <c r="D33" s="126"/>
      <c r="E33" s="171"/>
      <c r="F33" s="171"/>
      <c r="G33" s="220">
        <v>0</v>
      </c>
      <c r="H33" s="173">
        <f t="shared" si="7"/>
        <v>0</v>
      </c>
      <c r="I33" s="173">
        <f t="shared" si="8"/>
        <v>0</v>
      </c>
      <c r="J33" s="199">
        <f t="shared" si="9"/>
        <v>0</v>
      </c>
      <c r="K33" s="171"/>
      <c r="L33" s="200">
        <f t="shared" si="10"/>
        <v>0</v>
      </c>
      <c r="M33" s="175">
        <v>0</v>
      </c>
      <c r="N33" s="175">
        <f t="shared" si="11"/>
        <v>0</v>
      </c>
      <c r="O33" s="202">
        <f t="shared" si="12"/>
        <v>0</v>
      </c>
      <c r="P33" s="171"/>
      <c r="Q33" s="221">
        <f t="shared" si="13"/>
        <v>0</v>
      </c>
      <c r="R33" s="222">
        <v>0</v>
      </c>
      <c r="S33" s="204">
        <f t="shared" si="14"/>
        <v>0</v>
      </c>
      <c r="T33" s="323">
        <f t="shared" si="15"/>
        <v>0</v>
      </c>
      <c r="U33" s="171"/>
      <c r="V33" s="223">
        <f t="shared" si="26"/>
        <v>0</v>
      </c>
      <c r="W33" s="179">
        <v>0</v>
      </c>
      <c r="X33" s="207">
        <f t="shared" si="16"/>
        <v>0</v>
      </c>
      <c r="Y33" s="324">
        <f t="shared" si="17"/>
        <v>0</v>
      </c>
      <c r="Z33" s="171"/>
      <c r="AA33" s="224">
        <f t="shared" si="27"/>
        <v>0</v>
      </c>
      <c r="AB33" s="181">
        <v>0</v>
      </c>
      <c r="AC33" s="210">
        <f t="shared" si="18"/>
        <v>0</v>
      </c>
      <c r="AD33" s="325">
        <f t="shared" si="19"/>
        <v>0</v>
      </c>
      <c r="AE33" s="171"/>
      <c r="AF33" s="225">
        <v>6063</v>
      </c>
      <c r="AG33" s="183">
        <f t="shared" si="28"/>
        <v>6.5616883116883118</v>
      </c>
      <c r="AH33" s="326">
        <f t="shared" si="20"/>
        <v>6.6363544818105E-3</v>
      </c>
      <c r="AI33" s="183"/>
      <c r="AJ33" s="171"/>
      <c r="AK33" s="126"/>
      <c r="AL33" s="171"/>
      <c r="AM33" s="226">
        <f t="shared" si="21"/>
        <v>0</v>
      </c>
      <c r="AN33" s="185">
        <v>0</v>
      </c>
      <c r="AO33" s="185">
        <f t="shared" si="22"/>
        <v>0</v>
      </c>
      <c r="AP33" s="216">
        <f t="shared" si="23"/>
        <v>0</v>
      </c>
      <c r="AQ33" s="171"/>
      <c r="AR33" s="171"/>
      <c r="AS33" s="217">
        <f t="shared" si="29"/>
        <v>0</v>
      </c>
      <c r="AT33" s="187">
        <v>0</v>
      </c>
      <c r="AU33" s="187">
        <f t="shared" si="24"/>
        <v>0</v>
      </c>
      <c r="AV33" s="219">
        <f t="shared" si="25"/>
        <v>0</v>
      </c>
      <c r="AW33" s="171"/>
      <c r="AX33" s="171"/>
    </row>
    <row r="34" spans="1:50" s="125" customFormat="1" ht="27">
      <c r="A34" s="126"/>
      <c r="B34" s="127"/>
      <c r="C34" s="126" t="s">
        <v>46</v>
      </c>
      <c r="D34" s="126"/>
      <c r="E34" s="171"/>
      <c r="F34" s="171"/>
      <c r="G34" s="220">
        <f>23577</f>
        <v>23577</v>
      </c>
      <c r="H34" s="173">
        <f t="shared" si="7"/>
        <v>312.83544858058394</v>
      </c>
      <c r="I34" s="198">
        <f t="shared" si="8"/>
        <v>0.92487839322140275</v>
      </c>
      <c r="J34" s="321">
        <f t="shared" si="9"/>
        <v>5.9405472989414621E-2</v>
      </c>
      <c r="K34" s="171"/>
      <c r="L34" s="200">
        <f t="shared" si="10"/>
        <v>2700.67</v>
      </c>
      <c r="M34" s="175">
        <f>65.87</f>
        <v>65.87</v>
      </c>
      <c r="N34" s="201">
        <f t="shared" si="11"/>
        <v>4.7050000000000001</v>
      </c>
      <c r="O34" s="322">
        <f t="shared" si="12"/>
        <v>9.4831284678132226E-3</v>
      </c>
      <c r="P34" s="171"/>
      <c r="Q34" s="221">
        <f t="shared" si="13"/>
        <v>0</v>
      </c>
      <c r="R34" s="222">
        <v>0</v>
      </c>
      <c r="S34" s="204">
        <f t="shared" si="14"/>
        <v>0</v>
      </c>
      <c r="T34" s="323">
        <f t="shared" si="15"/>
        <v>0</v>
      </c>
      <c r="U34" s="171"/>
      <c r="V34" s="223">
        <f t="shared" si="26"/>
        <v>0</v>
      </c>
      <c r="W34" s="179">
        <v>0</v>
      </c>
      <c r="X34" s="207">
        <f t="shared" si="16"/>
        <v>0</v>
      </c>
      <c r="Y34" s="324">
        <f t="shared" si="17"/>
        <v>0</v>
      </c>
      <c r="Z34" s="171"/>
      <c r="AA34" s="224">
        <f t="shared" si="27"/>
        <v>0</v>
      </c>
      <c r="AB34" s="181">
        <v>0</v>
      </c>
      <c r="AC34" s="210">
        <f t="shared" si="18"/>
        <v>0</v>
      </c>
      <c r="AD34" s="325">
        <f t="shared" si="19"/>
        <v>0</v>
      </c>
      <c r="AE34" s="171"/>
      <c r="AF34" s="225">
        <f>16976+10682+51890</f>
        <v>79548</v>
      </c>
      <c r="AG34" s="183">
        <f t="shared" si="28"/>
        <v>86.090909090909093</v>
      </c>
      <c r="AH34" s="326">
        <f t="shared" si="20"/>
        <v>8.7070546976589419E-2</v>
      </c>
      <c r="AI34" s="183"/>
      <c r="AJ34" s="171"/>
      <c r="AK34" s="126"/>
      <c r="AL34" s="171"/>
      <c r="AM34" s="226">
        <f t="shared" si="21"/>
        <v>300</v>
      </c>
      <c r="AN34" s="185">
        <v>300</v>
      </c>
      <c r="AO34" s="228">
        <f t="shared" si="22"/>
        <v>6.25</v>
      </c>
      <c r="AP34" s="327">
        <f t="shared" si="23"/>
        <v>4.1666666666666664E-2</v>
      </c>
      <c r="AQ34" s="171"/>
      <c r="AR34" s="171"/>
      <c r="AS34" s="217">
        <f t="shared" si="29"/>
        <v>84</v>
      </c>
      <c r="AT34" s="187">
        <v>84</v>
      </c>
      <c r="AU34" s="218">
        <f t="shared" si="24"/>
        <v>1.8666666666666667</v>
      </c>
      <c r="AV34" s="328">
        <f t="shared" si="25"/>
        <v>1.1991249813707368E-2</v>
      </c>
      <c r="AW34" s="171"/>
      <c r="AX34" s="171"/>
    </row>
    <row r="35" spans="1:50" s="125" customFormat="1" ht="27">
      <c r="A35" s="126"/>
      <c r="B35" s="127"/>
      <c r="C35" s="126" t="s">
        <v>47</v>
      </c>
      <c r="D35" s="126"/>
      <c r="E35" s="171"/>
      <c r="F35" s="171"/>
      <c r="G35" s="220">
        <v>6268</v>
      </c>
      <c r="H35" s="173">
        <f t="shared" si="7"/>
        <v>83.16802781113374</v>
      </c>
      <c r="I35" s="198">
        <f t="shared" si="8"/>
        <v>0.24588106072493332</v>
      </c>
      <c r="J35" s="321">
        <f t="shared" si="9"/>
        <v>1.5793082440414424E-2</v>
      </c>
      <c r="K35" s="171"/>
      <c r="L35" s="200">
        <f t="shared" si="10"/>
        <v>302.17</v>
      </c>
      <c r="M35" s="175">
        <f>7.37</f>
        <v>7.37</v>
      </c>
      <c r="N35" s="201">
        <f t="shared" si="11"/>
        <v>0.52642857142857147</v>
      </c>
      <c r="O35" s="322">
        <f t="shared" si="12"/>
        <v>1.0610392714101025E-3</v>
      </c>
      <c r="P35" s="171"/>
      <c r="Q35" s="221">
        <f t="shared" si="13"/>
        <v>0</v>
      </c>
      <c r="R35" s="222">
        <v>0</v>
      </c>
      <c r="S35" s="204">
        <f t="shared" si="14"/>
        <v>0</v>
      </c>
      <c r="T35" s="323">
        <f t="shared" si="15"/>
        <v>0</v>
      </c>
      <c r="U35" s="171"/>
      <c r="V35" s="223">
        <f t="shared" si="26"/>
        <v>0</v>
      </c>
      <c r="W35" s="179">
        <v>0</v>
      </c>
      <c r="X35" s="207">
        <f t="shared" si="16"/>
        <v>0</v>
      </c>
      <c r="Y35" s="324">
        <f t="shared" si="17"/>
        <v>0</v>
      </c>
      <c r="Z35" s="171"/>
      <c r="AA35" s="224">
        <f t="shared" si="27"/>
        <v>0</v>
      </c>
      <c r="AB35" s="181">
        <v>0</v>
      </c>
      <c r="AC35" s="210">
        <f t="shared" si="18"/>
        <v>0</v>
      </c>
      <c r="AD35" s="325">
        <f t="shared" si="19"/>
        <v>0</v>
      </c>
      <c r="AE35" s="171"/>
      <c r="AF35" s="225">
        <v>0</v>
      </c>
      <c r="AG35" s="183">
        <f t="shared" si="28"/>
        <v>0</v>
      </c>
      <c r="AH35" s="213">
        <f t="shared" si="20"/>
        <v>0</v>
      </c>
      <c r="AI35" s="183"/>
      <c r="AJ35" s="171"/>
      <c r="AK35" s="126"/>
      <c r="AL35" s="171"/>
      <c r="AM35" s="226">
        <f t="shared" si="21"/>
        <v>0</v>
      </c>
      <c r="AN35" s="185">
        <v>0</v>
      </c>
      <c r="AO35" s="185">
        <f t="shared" si="22"/>
        <v>0</v>
      </c>
      <c r="AP35" s="327">
        <f t="shared" si="23"/>
        <v>0</v>
      </c>
      <c r="AQ35" s="171"/>
      <c r="AR35" s="171"/>
      <c r="AS35" s="217">
        <f t="shared" si="29"/>
        <v>0</v>
      </c>
      <c r="AT35" s="187">
        <v>0</v>
      </c>
      <c r="AU35" s="218">
        <f t="shared" si="24"/>
        <v>0</v>
      </c>
      <c r="AV35" s="328">
        <f t="shared" si="25"/>
        <v>0</v>
      </c>
      <c r="AW35" s="171"/>
      <c r="AX35" s="171"/>
    </row>
    <row r="36" spans="1:50" s="125" customFormat="1" ht="27">
      <c r="A36" s="126"/>
      <c r="B36" s="127"/>
      <c r="C36" s="126" t="s">
        <v>48</v>
      </c>
      <c r="D36" s="126"/>
      <c r="E36" s="171"/>
      <c r="F36" s="171"/>
      <c r="G36" s="220">
        <f>2141</f>
        <v>2141</v>
      </c>
      <c r="H36" s="173">
        <f t="shared" si="7"/>
        <v>28.408223922086368</v>
      </c>
      <c r="I36" s="198">
        <f t="shared" si="8"/>
        <v>8.3987133218264551E-2</v>
      </c>
      <c r="J36" s="321">
        <f t="shared" si="9"/>
        <v>5.3945420397139886E-3</v>
      </c>
      <c r="K36" s="171"/>
      <c r="L36" s="200">
        <f t="shared" si="10"/>
        <v>10399.65</v>
      </c>
      <c r="M36" s="175">
        <f>253.65</f>
        <v>253.65</v>
      </c>
      <c r="N36" s="201">
        <f t="shared" si="11"/>
        <v>18.117857142857144</v>
      </c>
      <c r="O36" s="322">
        <f t="shared" si="12"/>
        <v>3.6517314951583779E-2</v>
      </c>
      <c r="P36" s="171"/>
      <c r="Q36" s="221">
        <f t="shared" si="13"/>
        <v>33.24</v>
      </c>
      <c r="R36" s="177">
        <v>33.24</v>
      </c>
      <c r="S36" s="204">
        <f t="shared" si="14"/>
        <v>16.537313432835823</v>
      </c>
      <c r="T36" s="323">
        <f t="shared" si="15"/>
        <v>2.7001340319239675E-2</v>
      </c>
      <c r="U36" s="171"/>
      <c r="V36" s="223">
        <f t="shared" si="26"/>
        <v>38.36</v>
      </c>
      <c r="W36" s="179">
        <v>38.36</v>
      </c>
      <c r="X36" s="207">
        <f t="shared" si="16"/>
        <v>9.4250614250614237</v>
      </c>
      <c r="Y36" s="324">
        <f t="shared" si="17"/>
        <v>2.6999778427261496E-2</v>
      </c>
      <c r="Z36" s="171"/>
      <c r="AA36" s="224">
        <f t="shared" si="27"/>
        <v>30.42</v>
      </c>
      <c r="AB36" s="181">
        <v>30.42</v>
      </c>
      <c r="AC36" s="210">
        <f t="shared" si="18"/>
        <v>4.1275440976933515</v>
      </c>
      <c r="AD36" s="325">
        <f t="shared" si="19"/>
        <v>2.700267630075762E-2</v>
      </c>
      <c r="AE36" s="171"/>
      <c r="AF36" s="225">
        <v>0</v>
      </c>
      <c r="AG36" s="183">
        <f t="shared" si="28"/>
        <v>0</v>
      </c>
      <c r="AH36" s="213">
        <f t="shared" si="20"/>
        <v>0</v>
      </c>
      <c r="AI36" s="183"/>
      <c r="AJ36" s="171"/>
      <c r="AK36" s="126"/>
      <c r="AL36" s="171"/>
      <c r="AM36" s="226">
        <f t="shared" si="21"/>
        <v>44</v>
      </c>
      <c r="AN36" s="185">
        <v>44</v>
      </c>
      <c r="AO36" s="228">
        <f t="shared" si="22"/>
        <v>0.91666666666666663</v>
      </c>
      <c r="AP36" s="327">
        <f t="shared" si="23"/>
        <v>6.1111111111111114E-3</v>
      </c>
      <c r="AQ36" s="171"/>
      <c r="AR36" s="171"/>
      <c r="AS36" s="217">
        <f t="shared" si="29"/>
        <v>80</v>
      </c>
      <c r="AT36" s="187">
        <v>80</v>
      </c>
      <c r="AU36" s="218">
        <f t="shared" si="24"/>
        <v>1.7777777777777777</v>
      </c>
      <c r="AV36" s="328">
        <f t="shared" si="25"/>
        <v>1.1420237917816541E-2</v>
      </c>
      <c r="AW36" s="171"/>
      <c r="AX36" s="171"/>
    </row>
    <row r="37" spans="1:50" s="125" customFormat="1" ht="27">
      <c r="A37" s="126"/>
      <c r="B37" s="127"/>
      <c r="C37" s="126" t="s">
        <v>49</v>
      </c>
      <c r="D37" s="126"/>
      <c r="E37" s="171"/>
      <c r="F37" s="171"/>
      <c r="G37" s="220">
        <f>2569</f>
        <v>2569</v>
      </c>
      <c r="H37" s="173">
        <f t="shared" si="7"/>
        <v>34.087214972367995</v>
      </c>
      <c r="I37" s="198">
        <f t="shared" si="8"/>
        <v>0.10077671426329829</v>
      </c>
      <c r="J37" s="321">
        <f t="shared" si="9"/>
        <v>6.4729465203293961E-3</v>
      </c>
      <c r="K37" s="171"/>
      <c r="L37" s="200">
        <f t="shared" si="10"/>
        <v>1546.52</v>
      </c>
      <c r="M37" s="175">
        <f>37.72</f>
        <v>37.72</v>
      </c>
      <c r="N37" s="201">
        <f t="shared" si="11"/>
        <v>2.6942857142857144</v>
      </c>
      <c r="O37" s="322">
        <f t="shared" si="12"/>
        <v>5.4304479399713791E-3</v>
      </c>
      <c r="P37" s="171"/>
      <c r="Q37" s="221">
        <f t="shared" si="13"/>
        <v>98.32</v>
      </c>
      <c r="R37" s="177">
        <v>98.32</v>
      </c>
      <c r="S37" s="204">
        <f t="shared" si="14"/>
        <v>48.915422885572141</v>
      </c>
      <c r="T37" s="323">
        <f t="shared" si="15"/>
        <v>7.9866780390723369E-2</v>
      </c>
      <c r="U37" s="171"/>
      <c r="V37" s="223">
        <f t="shared" si="26"/>
        <v>146.51</v>
      </c>
      <c r="W37" s="179">
        <v>146.51</v>
      </c>
      <c r="X37" s="207">
        <f t="shared" si="16"/>
        <v>35.997542997542993</v>
      </c>
      <c r="Y37" s="324">
        <f t="shared" si="17"/>
        <v>0.10312141651142027</v>
      </c>
      <c r="Z37" s="171"/>
      <c r="AA37" s="224">
        <f t="shared" si="27"/>
        <v>41.4</v>
      </c>
      <c r="AB37" s="181">
        <v>41.4</v>
      </c>
      <c r="AC37" s="210">
        <f t="shared" si="18"/>
        <v>5.6173677069199455</v>
      </c>
      <c r="AD37" s="325">
        <f t="shared" si="19"/>
        <v>3.674920443298374E-2</v>
      </c>
      <c r="AE37" s="171"/>
      <c r="AF37" s="225">
        <f>7548</f>
        <v>7548</v>
      </c>
      <c r="AG37" s="183">
        <f t="shared" si="28"/>
        <v>8.1688311688311686</v>
      </c>
      <c r="AH37" s="326">
        <f t="shared" si="20"/>
        <v>8.2617851935849664E-3</v>
      </c>
      <c r="AI37" s="183"/>
      <c r="AJ37" s="171"/>
      <c r="AK37" s="126"/>
      <c r="AL37" s="171"/>
      <c r="AM37" s="226">
        <f t="shared" si="21"/>
        <v>67</v>
      </c>
      <c r="AN37" s="185">
        <v>67</v>
      </c>
      <c r="AO37" s="228">
        <f t="shared" si="22"/>
        <v>1.3958333333333333</v>
      </c>
      <c r="AP37" s="327">
        <f t="shared" si="23"/>
        <v>9.3055555555555548E-3</v>
      </c>
      <c r="AQ37" s="171"/>
      <c r="AR37" s="171"/>
      <c r="AS37" s="217">
        <f t="shared" si="29"/>
        <v>67</v>
      </c>
      <c r="AT37" s="187">
        <v>67</v>
      </c>
      <c r="AU37" s="218">
        <f t="shared" si="24"/>
        <v>1.4888888888888889</v>
      </c>
      <c r="AV37" s="328">
        <f t="shared" si="25"/>
        <v>9.5644492561713541E-3</v>
      </c>
      <c r="AW37" s="171"/>
      <c r="AX37" s="171"/>
    </row>
    <row r="38" spans="1:50" s="125" customFormat="1" ht="27">
      <c r="A38" s="126"/>
      <c r="B38" s="127"/>
      <c r="C38" s="101" t="s">
        <v>71</v>
      </c>
      <c r="D38" s="126"/>
      <c r="E38" s="171"/>
      <c r="F38" s="171"/>
      <c r="G38" s="220">
        <v>25781</v>
      </c>
      <c r="H38" s="173">
        <f t="shared" si="7"/>
        <v>342.07959875539871</v>
      </c>
      <c r="I38" s="198">
        <f t="shared" si="8"/>
        <v>1.0113368900047073</v>
      </c>
      <c r="J38" s="321">
        <f t="shared" si="9"/>
        <v>6.4958752137256576E-2</v>
      </c>
      <c r="K38" s="171"/>
      <c r="L38" s="200">
        <f t="shared" si="10"/>
        <v>17923.149999999998</v>
      </c>
      <c r="M38" s="175">
        <f>134.86+50.31+230.39+21.59</f>
        <v>437.15</v>
      </c>
      <c r="N38" s="201">
        <f t="shared" si="11"/>
        <v>31.224999999999998</v>
      </c>
      <c r="O38" s="322">
        <f t="shared" si="12"/>
        <v>6.2935321234318345E-2</v>
      </c>
      <c r="P38" s="171"/>
      <c r="Q38" s="221">
        <f t="shared" si="13"/>
        <v>0</v>
      </c>
      <c r="R38" s="222">
        <v>0</v>
      </c>
      <c r="S38" s="204">
        <f t="shared" si="14"/>
        <v>0</v>
      </c>
      <c r="T38" s="323">
        <f t="shared" si="15"/>
        <v>0</v>
      </c>
      <c r="U38" s="171"/>
      <c r="V38" s="223">
        <f t="shared" si="26"/>
        <v>0</v>
      </c>
      <c r="W38" s="179">
        <v>0</v>
      </c>
      <c r="X38" s="207">
        <f t="shared" si="16"/>
        <v>0</v>
      </c>
      <c r="Y38" s="324">
        <f t="shared" si="17"/>
        <v>0</v>
      </c>
      <c r="Z38" s="171"/>
      <c r="AA38" s="224">
        <f t="shared" si="27"/>
        <v>0</v>
      </c>
      <c r="AB38" s="181">
        <v>0</v>
      </c>
      <c r="AC38" s="210">
        <f t="shared" si="18"/>
        <v>0</v>
      </c>
      <c r="AD38" s="325">
        <f t="shared" si="19"/>
        <v>0</v>
      </c>
      <c r="AE38" s="171"/>
      <c r="AF38" s="225">
        <f>32629+66842</f>
        <v>99471</v>
      </c>
      <c r="AG38" s="183">
        <f t="shared" si="28"/>
        <v>107.65259740259741</v>
      </c>
      <c r="AH38" s="326">
        <f t="shared" si="20"/>
        <v>0.10887758810162827</v>
      </c>
      <c r="AI38" s="183"/>
      <c r="AJ38" s="171"/>
      <c r="AK38" s="126"/>
      <c r="AL38" s="171"/>
      <c r="AM38" s="226">
        <f t="shared" si="21"/>
        <v>0</v>
      </c>
      <c r="AN38" s="185">
        <v>0</v>
      </c>
      <c r="AO38" s="185">
        <f t="shared" si="22"/>
        <v>0</v>
      </c>
      <c r="AP38" s="216">
        <f t="shared" si="23"/>
        <v>0</v>
      </c>
      <c r="AQ38" s="171"/>
      <c r="AR38" s="171"/>
      <c r="AS38" s="217">
        <f t="shared" si="29"/>
        <v>82</v>
      </c>
      <c r="AT38" s="187">
        <v>82</v>
      </c>
      <c r="AU38" s="218">
        <f t="shared" si="24"/>
        <v>1.8222222222222222</v>
      </c>
      <c r="AV38" s="328">
        <f t="shared" si="25"/>
        <v>1.1705743865761955E-2</v>
      </c>
      <c r="AW38" s="171"/>
      <c r="AX38" s="171"/>
    </row>
    <row r="39" spans="1:50" s="125" customFormat="1" ht="27">
      <c r="A39" s="126"/>
      <c r="B39" s="127"/>
      <c r="C39" s="126" t="s">
        <v>65</v>
      </c>
      <c r="D39" s="126"/>
      <c r="E39" s="171"/>
      <c r="F39" s="171"/>
      <c r="G39" s="220">
        <v>0</v>
      </c>
      <c r="H39" s="173">
        <f t="shared" si="7"/>
        <v>0</v>
      </c>
      <c r="I39" s="173">
        <f t="shared" si="8"/>
        <v>0</v>
      </c>
      <c r="J39" s="199">
        <f t="shared" si="9"/>
        <v>0</v>
      </c>
      <c r="K39" s="171"/>
      <c r="L39" s="200">
        <f t="shared" si="10"/>
        <v>0</v>
      </c>
      <c r="M39" s="175">
        <v>0</v>
      </c>
      <c r="N39" s="175">
        <f t="shared" si="11"/>
        <v>0</v>
      </c>
      <c r="O39" s="202">
        <f t="shared" si="12"/>
        <v>0</v>
      </c>
      <c r="P39" s="171"/>
      <c r="Q39" s="221">
        <f t="shared" si="13"/>
        <v>0</v>
      </c>
      <c r="R39" s="222">
        <v>0</v>
      </c>
      <c r="S39" s="204">
        <f t="shared" si="14"/>
        <v>0</v>
      </c>
      <c r="T39" s="323">
        <f t="shared" si="15"/>
        <v>0</v>
      </c>
      <c r="U39" s="171"/>
      <c r="V39" s="223">
        <f t="shared" si="26"/>
        <v>0</v>
      </c>
      <c r="W39" s="179">
        <v>0</v>
      </c>
      <c r="X39" s="207">
        <f t="shared" si="16"/>
        <v>0</v>
      </c>
      <c r="Y39" s="324">
        <f t="shared" si="17"/>
        <v>0</v>
      </c>
      <c r="Z39" s="171"/>
      <c r="AA39" s="224">
        <f t="shared" si="27"/>
        <v>0</v>
      </c>
      <c r="AB39" s="181">
        <v>0</v>
      </c>
      <c r="AC39" s="210">
        <f t="shared" si="18"/>
        <v>0</v>
      </c>
      <c r="AD39" s="325">
        <f t="shared" si="19"/>
        <v>0</v>
      </c>
      <c r="AE39" s="171"/>
      <c r="AF39" s="225">
        <v>0</v>
      </c>
      <c r="AG39" s="183">
        <f t="shared" si="28"/>
        <v>0</v>
      </c>
      <c r="AH39" s="213">
        <f t="shared" si="20"/>
        <v>0</v>
      </c>
      <c r="AI39" s="183"/>
      <c r="AJ39" s="171"/>
      <c r="AK39" s="126"/>
      <c r="AL39" s="171"/>
      <c r="AM39" s="226">
        <f t="shared" si="21"/>
        <v>0</v>
      </c>
      <c r="AN39" s="185">
        <v>0</v>
      </c>
      <c r="AO39" s="185">
        <f t="shared" si="22"/>
        <v>0</v>
      </c>
      <c r="AP39" s="216">
        <f t="shared" si="23"/>
        <v>0</v>
      </c>
      <c r="AQ39" s="171"/>
      <c r="AR39" s="171"/>
      <c r="AS39" s="217">
        <f t="shared" si="29"/>
        <v>0</v>
      </c>
      <c r="AT39" s="187">
        <v>0</v>
      </c>
      <c r="AU39" s="187">
        <f t="shared" si="24"/>
        <v>0</v>
      </c>
      <c r="AV39" s="219">
        <f t="shared" si="25"/>
        <v>0</v>
      </c>
      <c r="AW39" s="171"/>
      <c r="AX39" s="171"/>
    </row>
    <row r="40" spans="1:50" s="125" customFormat="1" ht="14.25" customHeight="1">
      <c r="A40" s="126"/>
      <c r="B40" s="127"/>
      <c r="C40" s="126"/>
      <c r="D40" s="126"/>
      <c r="E40" s="171"/>
      <c r="F40" s="171"/>
      <c r="G40" s="220"/>
      <c r="H40" s="173"/>
      <c r="I40" s="198"/>
      <c r="J40" s="321"/>
      <c r="K40" s="171"/>
      <c r="L40" s="329"/>
      <c r="M40" s="175"/>
      <c r="N40" s="201"/>
      <c r="O40" s="322"/>
      <c r="P40" s="171"/>
      <c r="Q40" s="221"/>
      <c r="R40" s="177"/>
      <c r="S40" s="204"/>
      <c r="T40" s="323"/>
      <c r="U40" s="171"/>
      <c r="V40" s="223"/>
      <c r="W40" s="179"/>
      <c r="X40" s="207"/>
      <c r="Y40" s="324"/>
      <c r="Z40" s="171"/>
      <c r="AA40" s="224"/>
      <c r="AB40" s="181"/>
      <c r="AC40" s="210"/>
      <c r="AD40" s="325"/>
      <c r="AE40" s="171"/>
      <c r="AF40" s="225"/>
      <c r="AG40" s="183"/>
      <c r="AH40" s="326"/>
      <c r="AI40" s="183"/>
      <c r="AJ40" s="171"/>
      <c r="AK40" s="126"/>
      <c r="AL40" s="171"/>
      <c r="AM40" s="226"/>
      <c r="AN40" s="185"/>
      <c r="AO40" s="228"/>
      <c r="AP40" s="327"/>
      <c r="AQ40" s="171"/>
      <c r="AR40" s="171"/>
      <c r="AS40" s="330"/>
      <c r="AT40" s="187"/>
      <c r="AU40" s="218"/>
      <c r="AV40" s="328"/>
      <c r="AW40" s="154"/>
      <c r="AX40" s="154"/>
    </row>
    <row r="41" spans="1:50" s="125" customFormat="1" ht="27">
      <c r="A41" s="126"/>
      <c r="B41" s="127"/>
      <c r="C41" s="273" t="s">
        <v>41</v>
      </c>
      <c r="D41" s="154"/>
      <c r="E41" s="154"/>
      <c r="F41" s="154"/>
      <c r="G41" s="331">
        <f>SUM(G30:G40)</f>
        <v>77078</v>
      </c>
      <c r="H41" s="332">
        <f>SUM(H30:H40)</f>
        <v>1022.7225985364655</v>
      </c>
      <c r="I41" s="333">
        <f>SUM(I30:I40)</f>
        <v>3.0236152518437156</v>
      </c>
      <c r="J41" s="334">
        <f>G41/G$17</f>
        <v>0.19420855270297749</v>
      </c>
      <c r="K41" s="154"/>
      <c r="L41" s="335">
        <f>SUM(L30:L40)</f>
        <v>34889.360000000001</v>
      </c>
      <c r="M41" s="336">
        <f>SUM(M30:M40)</f>
        <v>850.96</v>
      </c>
      <c r="N41" s="337">
        <f>SUM(N30:N40)</f>
        <v>60.782857142857139</v>
      </c>
      <c r="O41" s="338">
        <f>L41/L$17</f>
        <v>0.1225104448302769</v>
      </c>
      <c r="P41" s="154"/>
      <c r="Q41" s="339">
        <f>SUM(Q30:Q40)</f>
        <v>131.56</v>
      </c>
      <c r="R41" s="340">
        <f>SUM(R30:R40)</f>
        <v>131.56</v>
      </c>
      <c r="S41" s="341">
        <f>SUM(S30:S40)</f>
        <v>65.452736318407972</v>
      </c>
      <c r="T41" s="342">
        <f>Q41/Q$17</f>
        <v>0.10686812070996304</v>
      </c>
      <c r="U41" s="154"/>
      <c r="V41" s="343">
        <f>SUM(V30:V40)</f>
        <v>184.87</v>
      </c>
      <c r="W41" s="344">
        <f>SUM(W30:W40)</f>
        <v>184.87</v>
      </c>
      <c r="X41" s="345">
        <f>SUM(X30:X40)</f>
        <v>45.422604422604415</v>
      </c>
      <c r="Y41" s="346">
        <f>V41/V$17</f>
        <v>0.13012119493868179</v>
      </c>
      <c r="Z41" s="154"/>
      <c r="AA41" s="347">
        <f>SUM(AA30:AA40)</f>
        <v>71.819999999999993</v>
      </c>
      <c r="AB41" s="348">
        <f>SUM(AB30:AB40)</f>
        <v>71.819999999999993</v>
      </c>
      <c r="AC41" s="349">
        <f>SUM(AC30:AC40)</f>
        <v>9.744911804613297</v>
      </c>
      <c r="AD41" s="350">
        <f>AA41/AA$17</f>
        <v>6.3751880733741356E-2</v>
      </c>
      <c r="AE41" s="154"/>
      <c r="AF41" s="351">
        <f>SUM(AF30:AF40)</f>
        <v>240842</v>
      </c>
      <c r="AG41" s="352">
        <f>SUM(AG30:AG40)</f>
        <v>260.65151515151513</v>
      </c>
      <c r="AH41" s="353">
        <f>AF41/AF$17</f>
        <v>0.26361749729642164</v>
      </c>
      <c r="AI41" s="166"/>
      <c r="AJ41" s="154"/>
      <c r="AK41" s="154"/>
      <c r="AL41" s="154"/>
      <c r="AM41" s="354">
        <f>SUM(AM30:AM40)</f>
        <v>1391</v>
      </c>
      <c r="AN41" s="355">
        <f>SUM(AN30:AN40)</f>
        <v>1391</v>
      </c>
      <c r="AO41" s="356">
        <f>SUM(AO30:AO40)</f>
        <v>28.979166666666668</v>
      </c>
      <c r="AP41" s="357">
        <f>AM41/AM$17</f>
        <v>0.19319444444444445</v>
      </c>
      <c r="AQ41" s="154"/>
      <c r="AR41" s="154"/>
      <c r="AS41" s="358">
        <f>SUM(AS30:AS40)</f>
        <v>1773</v>
      </c>
      <c r="AT41" s="359">
        <f>SUM(AT30:AT40)</f>
        <v>1773</v>
      </c>
      <c r="AU41" s="360">
        <f>SUM(AU30:AU40)</f>
        <v>39.4</v>
      </c>
      <c r="AV41" s="361">
        <f>AS41/AS$17</f>
        <v>0.25310102285360908</v>
      </c>
      <c r="AW41" s="362"/>
      <c r="AX41" s="362"/>
    </row>
    <row r="42" spans="1:50" s="125" customFormat="1" ht="27">
      <c r="A42" s="363"/>
      <c r="B42" s="364"/>
      <c r="C42" s="365"/>
      <c r="D42" s="363"/>
      <c r="E42" s="366"/>
      <c r="F42" s="366"/>
      <c r="G42" s="367"/>
      <c r="H42" s="368"/>
      <c r="I42" s="369"/>
      <c r="J42" s="321"/>
      <c r="K42" s="366"/>
      <c r="L42" s="370"/>
      <c r="M42" s="371"/>
      <c r="N42" s="372"/>
      <c r="O42" s="322"/>
      <c r="P42" s="366"/>
      <c r="Q42" s="373"/>
      <c r="R42" s="374"/>
      <c r="S42" s="375"/>
      <c r="T42" s="323"/>
      <c r="U42" s="366"/>
      <c r="V42" s="376"/>
      <c r="W42" s="377"/>
      <c r="X42" s="378"/>
      <c r="Y42" s="324"/>
      <c r="Z42" s="366"/>
      <c r="AA42" s="379"/>
      <c r="AB42" s="380"/>
      <c r="AC42" s="381"/>
      <c r="AD42" s="325"/>
      <c r="AE42" s="382"/>
      <c r="AF42" s="383"/>
      <c r="AG42" s="384"/>
      <c r="AH42" s="326"/>
      <c r="AI42" s="384"/>
      <c r="AJ42" s="366"/>
      <c r="AK42" s="363"/>
      <c r="AL42" s="366"/>
      <c r="AM42" s="385"/>
      <c r="AN42" s="386"/>
      <c r="AO42" s="387"/>
      <c r="AP42" s="327"/>
      <c r="AQ42" s="382"/>
      <c r="AR42" s="382"/>
      <c r="AS42" s="388"/>
      <c r="AT42" s="389"/>
      <c r="AU42" s="390"/>
      <c r="AV42" s="328"/>
      <c r="AW42" s="171"/>
      <c r="AX42" s="171"/>
    </row>
    <row r="43" spans="1:50" s="125" customFormat="1" ht="27">
      <c r="A43" s="126"/>
      <c r="B43" s="127"/>
      <c r="C43" s="126"/>
      <c r="D43" s="126"/>
      <c r="E43" s="171"/>
      <c r="F43" s="171"/>
      <c r="G43" s="304"/>
      <c r="H43" s="173"/>
      <c r="I43" s="173"/>
      <c r="J43" s="391"/>
      <c r="K43" s="171"/>
      <c r="L43" s="306"/>
      <c r="M43" s="175"/>
      <c r="N43" s="201"/>
      <c r="O43" s="392"/>
      <c r="P43" s="171"/>
      <c r="Q43" s="308"/>
      <c r="R43" s="177"/>
      <c r="S43" s="204"/>
      <c r="T43" s="393"/>
      <c r="U43" s="171"/>
      <c r="V43" s="310"/>
      <c r="W43" s="179"/>
      <c r="X43" s="207"/>
      <c r="Y43" s="394"/>
      <c r="Z43" s="171"/>
      <c r="AA43" s="312"/>
      <c r="AB43" s="181"/>
      <c r="AC43" s="210"/>
      <c r="AD43" s="395"/>
      <c r="AE43" s="171"/>
      <c r="AF43" s="314"/>
      <c r="AG43" s="183"/>
      <c r="AH43" s="396"/>
      <c r="AI43" s="183"/>
      <c r="AJ43" s="171"/>
      <c r="AK43" s="126"/>
      <c r="AL43" s="171"/>
      <c r="AM43" s="316"/>
      <c r="AN43" s="185"/>
      <c r="AO43" s="228"/>
      <c r="AP43" s="397"/>
      <c r="AQ43" s="171"/>
      <c r="AR43" s="171"/>
      <c r="AS43" s="318"/>
      <c r="AT43" s="187"/>
      <c r="AU43" s="218"/>
      <c r="AV43" s="398"/>
      <c r="AW43" s="171"/>
      <c r="AX43" s="171"/>
    </row>
    <row r="44" spans="1:50" s="125" customFormat="1" ht="27">
      <c r="A44" s="126"/>
      <c r="B44" s="127"/>
      <c r="C44" s="399" t="s">
        <v>50</v>
      </c>
      <c r="D44" s="126"/>
      <c r="E44" s="171"/>
      <c r="F44" s="171"/>
      <c r="G44" s="220">
        <f>H$7*H44</f>
        <v>0</v>
      </c>
      <c r="H44" s="173">
        <v>0</v>
      </c>
      <c r="I44" s="173">
        <f>G44/I$7</f>
        <v>0</v>
      </c>
      <c r="J44" s="199">
        <f>G44/G$17</f>
        <v>0</v>
      </c>
      <c r="K44" s="171"/>
      <c r="L44" s="329">
        <f>M$7*M44</f>
        <v>0</v>
      </c>
      <c r="M44" s="175">
        <v>0</v>
      </c>
      <c r="N44" s="175">
        <f>L44/N$7</f>
        <v>0</v>
      </c>
      <c r="O44" s="202">
        <f>L44/L$17</f>
        <v>0</v>
      </c>
      <c r="P44" s="171"/>
      <c r="Q44" s="221">
        <f>R$7*R44</f>
        <v>0</v>
      </c>
      <c r="R44" s="177">
        <v>0</v>
      </c>
      <c r="S44" s="204">
        <f>Q44/S$7</f>
        <v>0</v>
      </c>
      <c r="T44" s="323">
        <f>Q44/Q$17</f>
        <v>0</v>
      </c>
      <c r="U44" s="171"/>
      <c r="V44" s="223">
        <f>W$7*W44</f>
        <v>0</v>
      </c>
      <c r="W44" s="179">
        <v>0</v>
      </c>
      <c r="X44" s="207">
        <f>V44/X$7</f>
        <v>0</v>
      </c>
      <c r="Y44" s="324">
        <f>V44/V$17</f>
        <v>0</v>
      </c>
      <c r="Z44" s="171"/>
      <c r="AA44" s="224">
        <f>AB$7*AB44</f>
        <v>0</v>
      </c>
      <c r="AB44" s="181">
        <v>0</v>
      </c>
      <c r="AC44" s="210">
        <f>AA44/AC$7</f>
        <v>0</v>
      </c>
      <c r="AD44" s="325">
        <f>AA44/AA$17</f>
        <v>0</v>
      </c>
      <c r="AE44" s="171"/>
      <c r="AF44" s="225">
        <v>-91261</v>
      </c>
      <c r="AG44" s="183">
        <f>AF44/$AG$7</f>
        <v>-98.76731601731602</v>
      </c>
      <c r="AH44" s="326">
        <f>AF44/AF$17</f>
        <v>-9.9891200126094024E-2</v>
      </c>
      <c r="AI44" s="183"/>
      <c r="AJ44" s="171"/>
      <c r="AK44" s="126"/>
      <c r="AL44" s="171"/>
      <c r="AM44" s="226">
        <f>AN$7*AN44</f>
        <v>0</v>
      </c>
      <c r="AN44" s="185">
        <v>0</v>
      </c>
      <c r="AO44" s="185">
        <f>AM44/AO$7</f>
        <v>0</v>
      </c>
      <c r="AP44" s="216">
        <f>AM44/AM$17</f>
        <v>0</v>
      </c>
      <c r="AQ44" s="171"/>
      <c r="AR44" s="171"/>
      <c r="AS44" s="217">
        <f>AT$7*AT44</f>
        <v>0</v>
      </c>
      <c r="AT44" s="187">
        <v>0</v>
      </c>
      <c r="AU44" s="187">
        <f>AS44/AU$7</f>
        <v>0</v>
      </c>
      <c r="AV44" s="219">
        <f>AS44/AS$17</f>
        <v>0</v>
      </c>
      <c r="AW44" s="171"/>
      <c r="AX44" s="171"/>
    </row>
    <row r="45" spans="1:50" s="125" customFormat="1" ht="27">
      <c r="A45" s="126"/>
      <c r="B45" s="127"/>
      <c r="C45" s="399" t="s">
        <v>51</v>
      </c>
      <c r="D45" s="126"/>
      <c r="E45" s="171"/>
      <c r="F45" s="171"/>
      <c r="G45" s="220">
        <f>H$7*H45</f>
        <v>0</v>
      </c>
      <c r="H45" s="173">
        <v>0</v>
      </c>
      <c r="I45" s="173">
        <f>G45/I$7</f>
        <v>0</v>
      </c>
      <c r="J45" s="199">
        <f>G45/G$17</f>
        <v>0</v>
      </c>
      <c r="K45" s="171"/>
      <c r="L45" s="329">
        <f>M$7*M45</f>
        <v>0</v>
      </c>
      <c r="M45" s="175">
        <v>0</v>
      </c>
      <c r="N45" s="175">
        <f>L45/N$7</f>
        <v>0</v>
      </c>
      <c r="O45" s="202">
        <f>L45/L$17</f>
        <v>0</v>
      </c>
      <c r="P45" s="171"/>
      <c r="Q45" s="221">
        <f>R$7*R45</f>
        <v>0</v>
      </c>
      <c r="R45" s="177">
        <v>0</v>
      </c>
      <c r="S45" s="204">
        <f>Q45/S$7</f>
        <v>0</v>
      </c>
      <c r="T45" s="323">
        <f>Q45/Q$17</f>
        <v>0</v>
      </c>
      <c r="U45" s="171"/>
      <c r="V45" s="223">
        <f>W$7*W45</f>
        <v>0</v>
      </c>
      <c r="W45" s="179">
        <v>0</v>
      </c>
      <c r="X45" s="207">
        <f>V45/X$7</f>
        <v>0</v>
      </c>
      <c r="Y45" s="324">
        <f>V45/V$17</f>
        <v>0</v>
      </c>
      <c r="Z45" s="171"/>
      <c r="AA45" s="224">
        <f>AB$7*AB45</f>
        <v>0</v>
      </c>
      <c r="AB45" s="181">
        <v>0</v>
      </c>
      <c r="AC45" s="210">
        <f>AA45/AC$7</f>
        <v>0</v>
      </c>
      <c r="AD45" s="325">
        <f>AA45/AA$17</f>
        <v>0</v>
      </c>
      <c r="AE45" s="171"/>
      <c r="AF45" s="225">
        <v>0</v>
      </c>
      <c r="AG45" s="183">
        <f>AF45/$AG$7</f>
        <v>0</v>
      </c>
      <c r="AH45" s="213">
        <f>AF45/AF$17</f>
        <v>0</v>
      </c>
      <c r="AI45" s="183"/>
      <c r="AJ45" s="171"/>
      <c r="AK45" s="126"/>
      <c r="AL45" s="171"/>
      <c r="AM45" s="226">
        <f>AN$7*AN45</f>
        <v>0</v>
      </c>
      <c r="AN45" s="185">
        <v>0</v>
      </c>
      <c r="AO45" s="185">
        <f>AM45/AO$7</f>
        <v>0</v>
      </c>
      <c r="AP45" s="216">
        <f>AM45/AM$17</f>
        <v>0</v>
      </c>
      <c r="AQ45" s="171"/>
      <c r="AR45" s="171"/>
      <c r="AS45" s="217">
        <f>AT$7*AT45</f>
        <v>0</v>
      </c>
      <c r="AT45" s="187">
        <v>0</v>
      </c>
      <c r="AU45" s="187">
        <f>AS45/AU$7</f>
        <v>0</v>
      </c>
      <c r="AV45" s="219">
        <f>AS45/AS$17</f>
        <v>0</v>
      </c>
      <c r="AW45" s="239"/>
      <c r="AX45" s="239"/>
    </row>
    <row r="46" spans="1:50" s="125" customFormat="1" ht="27">
      <c r="A46" s="126"/>
      <c r="B46" s="127"/>
      <c r="C46" s="238" t="s">
        <v>52</v>
      </c>
      <c r="D46" s="128"/>
      <c r="E46" s="239"/>
      <c r="F46" s="239"/>
      <c r="G46" s="400">
        <f>G44-G45</f>
        <v>0</v>
      </c>
      <c r="H46" s="241">
        <f>H44-H45</f>
        <v>0</v>
      </c>
      <c r="I46" s="241">
        <f>I44-I45</f>
        <v>0</v>
      </c>
      <c r="J46" s="243">
        <f>G46/G$17</f>
        <v>0</v>
      </c>
      <c r="K46" s="239"/>
      <c r="L46" s="401">
        <f>L44-L45</f>
        <v>0</v>
      </c>
      <c r="M46" s="245">
        <f>M44-M45</f>
        <v>0</v>
      </c>
      <c r="N46" s="245">
        <f>N44-N45</f>
        <v>0</v>
      </c>
      <c r="O46" s="247">
        <f>L46/L$17</f>
        <v>0</v>
      </c>
      <c r="P46" s="239"/>
      <c r="Q46" s="402">
        <f>Q44-Q45</f>
        <v>0</v>
      </c>
      <c r="R46" s="249">
        <f>R44-R45</f>
        <v>0</v>
      </c>
      <c r="S46" s="250">
        <f>S44-S45</f>
        <v>0</v>
      </c>
      <c r="T46" s="342">
        <f>Q46/Q$17</f>
        <v>0</v>
      </c>
      <c r="U46" s="239"/>
      <c r="V46" s="403">
        <f>V44-V45</f>
        <v>0</v>
      </c>
      <c r="W46" s="253">
        <f>W44-W45</f>
        <v>0</v>
      </c>
      <c r="X46" s="254">
        <f>X44-X45</f>
        <v>0</v>
      </c>
      <c r="Y46" s="346">
        <f>V46/V$17</f>
        <v>0</v>
      </c>
      <c r="Z46" s="239"/>
      <c r="AA46" s="404">
        <f>AA44-AA45</f>
        <v>0</v>
      </c>
      <c r="AB46" s="257">
        <f>AB44-AB45</f>
        <v>0</v>
      </c>
      <c r="AC46" s="258">
        <f>AC44-AC45</f>
        <v>0</v>
      </c>
      <c r="AD46" s="350">
        <f>AA46/AA$17</f>
        <v>0</v>
      </c>
      <c r="AE46" s="239"/>
      <c r="AF46" s="405">
        <f>AF44-AF45</f>
        <v>-91261</v>
      </c>
      <c r="AG46" s="261">
        <f>AG44-AG45</f>
        <v>-98.76731601731602</v>
      </c>
      <c r="AH46" s="353">
        <f>AF46/AF$17</f>
        <v>-9.9891200126094024E-2</v>
      </c>
      <c r="AI46" s="263"/>
      <c r="AJ46" s="239"/>
      <c r="AK46" s="128"/>
      <c r="AL46" s="239"/>
      <c r="AM46" s="406">
        <f>AM44-AM45</f>
        <v>0</v>
      </c>
      <c r="AN46" s="265">
        <f>AN44-AN45</f>
        <v>0</v>
      </c>
      <c r="AO46" s="266">
        <f>AO44-AO45</f>
        <v>0</v>
      </c>
      <c r="AP46" s="357">
        <f>AM46/AM$17</f>
        <v>0</v>
      </c>
      <c r="AQ46" s="239"/>
      <c r="AR46" s="239"/>
      <c r="AS46" s="407">
        <f>AS44-AS45</f>
        <v>0</v>
      </c>
      <c r="AT46" s="269">
        <f>AT44-AT45</f>
        <v>0</v>
      </c>
      <c r="AU46" s="269">
        <f>AU44-AU45</f>
        <v>0</v>
      </c>
      <c r="AV46" s="271">
        <f>AS46/AS$17</f>
        <v>0</v>
      </c>
      <c r="AW46" s="171"/>
      <c r="AX46" s="171"/>
    </row>
    <row r="47" spans="1:50" s="125" customFormat="1" ht="27">
      <c r="A47" s="126"/>
      <c r="B47" s="127"/>
      <c r="C47" s="126"/>
      <c r="D47" s="126"/>
      <c r="E47" s="171"/>
      <c r="F47" s="171"/>
      <c r="G47" s="304"/>
      <c r="H47" s="173"/>
      <c r="I47" s="198"/>
      <c r="J47" s="391"/>
      <c r="K47" s="171"/>
      <c r="L47" s="306"/>
      <c r="M47" s="175"/>
      <c r="N47" s="201"/>
      <c r="O47" s="392"/>
      <c r="P47" s="171"/>
      <c r="Q47" s="308"/>
      <c r="R47" s="177"/>
      <c r="S47" s="204"/>
      <c r="T47" s="393"/>
      <c r="U47" s="171"/>
      <c r="V47" s="310"/>
      <c r="W47" s="179"/>
      <c r="X47" s="207"/>
      <c r="Y47" s="394"/>
      <c r="Z47" s="171"/>
      <c r="AA47" s="312"/>
      <c r="AB47" s="181"/>
      <c r="AC47" s="210"/>
      <c r="AD47" s="395"/>
      <c r="AE47" s="171"/>
      <c r="AF47" s="314"/>
      <c r="AG47" s="183"/>
      <c r="AH47" s="396"/>
      <c r="AI47" s="183"/>
      <c r="AJ47" s="171"/>
      <c r="AK47" s="126"/>
      <c r="AL47" s="171"/>
      <c r="AM47" s="316"/>
      <c r="AN47" s="185"/>
      <c r="AO47" s="228"/>
      <c r="AP47" s="397"/>
      <c r="AQ47" s="171"/>
      <c r="AR47" s="171"/>
      <c r="AS47" s="318"/>
      <c r="AT47" s="187"/>
      <c r="AU47" s="218"/>
      <c r="AV47" s="398"/>
      <c r="AW47" s="239"/>
      <c r="AX47" s="239"/>
    </row>
    <row r="48" spans="1:50" s="125" customFormat="1" ht="27">
      <c r="A48" s="126"/>
      <c r="B48" s="127"/>
      <c r="C48" s="238" t="s">
        <v>53</v>
      </c>
      <c r="D48" s="128"/>
      <c r="E48" s="239"/>
      <c r="F48" s="239"/>
      <c r="G48" s="331">
        <f>G41+G46+G28</f>
        <v>222999</v>
      </c>
      <c r="H48" s="332">
        <f>H41+H46+H28</f>
        <v>2958.9002925741884</v>
      </c>
      <c r="I48" s="333">
        <f>I41+I46+I28</f>
        <v>8.7478032323866302</v>
      </c>
      <c r="J48" s="334">
        <f>G48/G$17</f>
        <v>0.56187645040363365</v>
      </c>
      <c r="K48" s="239"/>
      <c r="L48" s="335">
        <f>L41+L46+L28</f>
        <v>60747.65</v>
      </c>
      <c r="M48" s="336">
        <f>M41+M46+M28</f>
        <v>1481.65</v>
      </c>
      <c r="N48" s="337">
        <f>N41+N46+N28</f>
        <v>105.83214285714286</v>
      </c>
      <c r="O48" s="338">
        <f>L48/L$17</f>
        <v>0.21330920440770398</v>
      </c>
      <c r="P48" s="239"/>
      <c r="Q48" s="339">
        <f>Q41+Q46+Q28</f>
        <v>587.78</v>
      </c>
      <c r="R48" s="340">
        <f>R41+R46+R28</f>
        <v>587.78</v>
      </c>
      <c r="S48" s="341">
        <f>S41+S46+S28</f>
        <v>292.42786069651743</v>
      </c>
      <c r="T48" s="342">
        <f>Q48/Q$17</f>
        <v>0.47746232890621826</v>
      </c>
      <c r="U48" s="239"/>
      <c r="V48" s="343">
        <f>V41+V46+V28</f>
        <v>721.11</v>
      </c>
      <c r="W48" s="344">
        <f>W41+W46+W28</f>
        <v>721.11</v>
      </c>
      <c r="X48" s="345">
        <f>X41+X46+X28</f>
        <v>177.17690417690415</v>
      </c>
      <c r="Y48" s="346">
        <f>V48/V$17</f>
        <v>0.5075550109927669</v>
      </c>
      <c r="Z48" s="239"/>
      <c r="AA48" s="347">
        <f>AA41+AA46+AA28</f>
        <v>443.90000000000003</v>
      </c>
      <c r="AB48" s="348">
        <f>AB41+AB46+AB28</f>
        <v>443.90000000000003</v>
      </c>
      <c r="AC48" s="349">
        <f>AC41+AC46+AC28</f>
        <v>60.230664857530527</v>
      </c>
      <c r="AD48" s="350">
        <f>AA48/AA$17</f>
        <v>0.39403313642032567</v>
      </c>
      <c r="AE48" s="239"/>
      <c r="AF48" s="351">
        <f>AF41+AF46+AF28</f>
        <v>357177</v>
      </c>
      <c r="AG48" s="352">
        <f>AG41+AG46+AG28</f>
        <v>386.55519480519479</v>
      </c>
      <c r="AH48" s="353">
        <f>AF48/AF$17</f>
        <v>0.39095384871344696</v>
      </c>
      <c r="AI48" s="263"/>
      <c r="AJ48" s="239"/>
      <c r="AK48" s="128"/>
      <c r="AL48" s="239"/>
      <c r="AM48" s="354">
        <f>AM41+AM46+AM28</f>
        <v>2992</v>
      </c>
      <c r="AN48" s="355">
        <f>AN41+AN46+AN28</f>
        <v>2992</v>
      </c>
      <c r="AO48" s="356">
        <f>AO41+AO46+AO28</f>
        <v>62.333333333333329</v>
      </c>
      <c r="AP48" s="357">
        <f>AM48/AM$17</f>
        <v>0.41555555555555557</v>
      </c>
      <c r="AQ48" s="239"/>
      <c r="AR48" s="239"/>
      <c r="AS48" s="358">
        <f>AS41+AS46+AS28</f>
        <v>3575</v>
      </c>
      <c r="AT48" s="359">
        <f>AT41+AT46+AT28</f>
        <v>3575</v>
      </c>
      <c r="AU48" s="360">
        <f>AU41+AU46+AU28</f>
        <v>79.444444444444443</v>
      </c>
      <c r="AV48" s="361">
        <f>AS48/AS$17</f>
        <v>0.51034188195242669</v>
      </c>
      <c r="AW48" s="408"/>
      <c r="AX48" s="408"/>
    </row>
    <row r="49" spans="1:50" s="125" customFormat="1" ht="27">
      <c r="A49" s="363"/>
      <c r="B49" s="364"/>
      <c r="C49" s="365"/>
      <c r="D49" s="363"/>
      <c r="E49" s="382"/>
      <c r="F49" s="382"/>
      <c r="G49" s="367"/>
      <c r="H49" s="368"/>
      <c r="I49" s="369"/>
      <c r="J49" s="321"/>
      <c r="K49" s="382"/>
      <c r="L49" s="370"/>
      <c r="M49" s="371"/>
      <c r="N49" s="372"/>
      <c r="O49" s="322"/>
      <c r="P49" s="382"/>
      <c r="Q49" s="373"/>
      <c r="R49" s="374"/>
      <c r="S49" s="375"/>
      <c r="T49" s="323"/>
      <c r="U49" s="382"/>
      <c r="V49" s="376"/>
      <c r="W49" s="377"/>
      <c r="X49" s="378"/>
      <c r="Y49" s="324"/>
      <c r="Z49" s="382"/>
      <c r="AA49" s="379"/>
      <c r="AB49" s="380"/>
      <c r="AC49" s="381"/>
      <c r="AD49" s="325"/>
      <c r="AE49" s="382"/>
      <c r="AF49" s="383"/>
      <c r="AG49" s="384"/>
      <c r="AH49" s="326"/>
      <c r="AI49" s="384"/>
      <c r="AJ49" s="382"/>
      <c r="AK49" s="363"/>
      <c r="AL49" s="382"/>
      <c r="AM49" s="385"/>
      <c r="AN49" s="386"/>
      <c r="AO49" s="387"/>
      <c r="AP49" s="327"/>
      <c r="AQ49" s="382"/>
      <c r="AR49" s="382"/>
      <c r="AS49" s="388"/>
      <c r="AT49" s="389"/>
      <c r="AU49" s="390"/>
      <c r="AV49" s="328"/>
      <c r="AW49" s="171"/>
      <c r="AX49" s="171"/>
    </row>
    <row r="50" spans="1:50" s="125" customFormat="1" ht="27.75" thickBot="1">
      <c r="A50" s="126"/>
      <c r="B50" s="127"/>
      <c r="C50" s="126"/>
      <c r="D50" s="126"/>
      <c r="E50" s="171"/>
      <c r="F50" s="171"/>
      <c r="G50" s="304"/>
      <c r="H50" s="173"/>
      <c r="I50" s="198"/>
      <c r="J50" s="391"/>
      <c r="K50" s="171"/>
      <c r="L50" s="306"/>
      <c r="M50" s="175"/>
      <c r="N50" s="201"/>
      <c r="O50" s="392"/>
      <c r="P50" s="171"/>
      <c r="Q50" s="308"/>
      <c r="R50" s="177"/>
      <c r="S50" s="204"/>
      <c r="T50" s="393"/>
      <c r="U50" s="171"/>
      <c r="V50" s="310"/>
      <c r="W50" s="179"/>
      <c r="X50" s="207"/>
      <c r="Y50" s="394"/>
      <c r="Z50" s="171"/>
      <c r="AA50" s="312"/>
      <c r="AB50" s="181"/>
      <c r="AC50" s="210"/>
      <c r="AD50" s="395"/>
      <c r="AE50" s="171"/>
      <c r="AF50" s="314"/>
      <c r="AG50" s="183"/>
      <c r="AH50" s="396"/>
      <c r="AI50" s="183"/>
      <c r="AJ50" s="171"/>
      <c r="AK50" s="126"/>
      <c r="AL50" s="171"/>
      <c r="AM50" s="316"/>
      <c r="AN50" s="185"/>
      <c r="AO50" s="228"/>
      <c r="AP50" s="397"/>
      <c r="AQ50" s="171"/>
      <c r="AR50" s="171"/>
      <c r="AS50" s="318"/>
      <c r="AT50" s="187"/>
      <c r="AU50" s="218"/>
      <c r="AV50" s="398"/>
      <c r="AW50" s="409"/>
      <c r="AX50" s="409"/>
    </row>
    <row r="51" spans="1:50" s="125" customFormat="1" ht="54">
      <c r="A51" s="410"/>
      <c r="B51" s="411"/>
      <c r="C51" s="504" t="s">
        <v>54</v>
      </c>
      <c r="D51" s="412"/>
      <c r="E51" s="413"/>
      <c r="F51" s="413"/>
      <c r="G51" s="414">
        <f>G17-G48</f>
        <v>173883.62400000001</v>
      </c>
      <c r="H51" s="415">
        <f>H17-H48</f>
        <v>2307.2045431928404</v>
      </c>
      <c r="I51" s="416">
        <f>I17-I48</f>
        <v>6.8211056017574165</v>
      </c>
      <c r="J51" s="417">
        <f>G51/G$17</f>
        <v>0.43812354959636635</v>
      </c>
      <c r="K51" s="413"/>
      <c r="L51" s="414">
        <f>L17-L48</f>
        <v>224039.17</v>
      </c>
      <c r="M51" s="415">
        <f>M17-M48</f>
        <v>5464.3700000000008</v>
      </c>
      <c r="N51" s="416">
        <f>N17-N48</f>
        <v>390.31214285714282</v>
      </c>
      <c r="O51" s="417">
        <f>L51/L$17</f>
        <v>0.78669079559229604</v>
      </c>
      <c r="P51" s="413"/>
      <c r="Q51" s="414">
        <f>Q17-Q48</f>
        <v>643.27</v>
      </c>
      <c r="R51" s="415">
        <f>R17-R48</f>
        <v>643.27</v>
      </c>
      <c r="S51" s="416">
        <f>S17-S48</f>
        <v>320.03482587064673</v>
      </c>
      <c r="T51" s="417">
        <f>Q51/Q$17</f>
        <v>0.52253767109378169</v>
      </c>
      <c r="U51" s="413"/>
      <c r="V51" s="414">
        <f>V17-V48</f>
        <v>699.64240000000007</v>
      </c>
      <c r="W51" s="415">
        <f>W17-W48</f>
        <v>699.64240000000007</v>
      </c>
      <c r="X51" s="416">
        <f>X17-X48</f>
        <v>171.90230958230961</v>
      </c>
      <c r="Y51" s="417">
        <f>V51/V$17</f>
        <v>0.4924449890072331</v>
      </c>
      <c r="Z51" s="413"/>
      <c r="AA51" s="414">
        <f>AA17-AA48</f>
        <v>682.65499999999997</v>
      </c>
      <c r="AB51" s="415">
        <f>AB17-AB48</f>
        <v>682.65499999999997</v>
      </c>
      <c r="AC51" s="416">
        <f>AC17-AC48</f>
        <v>92.626187245590231</v>
      </c>
      <c r="AD51" s="417">
        <f>AA51/AA$17</f>
        <v>0.60596686357967422</v>
      </c>
      <c r="AE51" s="413"/>
      <c r="AF51" s="414">
        <f>AF17-AF48</f>
        <v>556427</v>
      </c>
      <c r="AG51" s="415">
        <f>AG17-AG48</f>
        <v>602.19372294372283</v>
      </c>
      <c r="AH51" s="417">
        <f>AF51/AF$17</f>
        <v>0.60904615128655304</v>
      </c>
      <c r="AI51" s="413"/>
      <c r="AJ51" s="413"/>
      <c r="AK51" s="412"/>
      <c r="AL51" s="413"/>
      <c r="AM51" s="414">
        <f>AM17-AM48</f>
        <v>4208</v>
      </c>
      <c r="AN51" s="415">
        <f>AN17-AN48</f>
        <v>4208</v>
      </c>
      <c r="AO51" s="416">
        <f>AO17-AO48</f>
        <v>87.666666666666671</v>
      </c>
      <c r="AP51" s="417">
        <f>AM51/AM$17</f>
        <v>0.58444444444444443</v>
      </c>
      <c r="AQ51" s="413"/>
      <c r="AR51" s="413"/>
      <c r="AS51" s="414">
        <f>AS17-AS48</f>
        <v>3430.1080000000002</v>
      </c>
      <c r="AT51" s="415">
        <f>AT17-AT48</f>
        <v>3430.1080000000002</v>
      </c>
      <c r="AU51" s="416">
        <f>AU17-AU48</f>
        <v>76.224622222222237</v>
      </c>
      <c r="AV51" s="417">
        <f>AS51/AS$17</f>
        <v>0.48965811804757331</v>
      </c>
      <c r="AW51" s="413"/>
      <c r="AX51" s="413"/>
    </row>
    <row r="52" spans="1:50" s="125" customFormat="1" ht="27">
      <c r="A52" s="363"/>
      <c r="B52" s="364"/>
      <c r="C52" s="188"/>
      <c r="D52" s="363"/>
      <c r="E52" s="366"/>
      <c r="F52" s="366"/>
      <c r="G52" s="367"/>
      <c r="H52" s="368"/>
      <c r="I52" s="369"/>
      <c r="J52" s="321"/>
      <c r="K52" s="366"/>
      <c r="L52" s="370"/>
      <c r="M52" s="371"/>
      <c r="N52" s="372"/>
      <c r="O52" s="322"/>
      <c r="P52" s="366"/>
      <c r="Q52" s="373"/>
      <c r="R52" s="374"/>
      <c r="S52" s="375"/>
      <c r="T52" s="323"/>
      <c r="U52" s="366"/>
      <c r="V52" s="376"/>
      <c r="W52" s="377"/>
      <c r="X52" s="378"/>
      <c r="Y52" s="324"/>
      <c r="Z52" s="366"/>
      <c r="AA52" s="379"/>
      <c r="AB52" s="380"/>
      <c r="AC52" s="381"/>
      <c r="AD52" s="325"/>
      <c r="AE52" s="382"/>
      <c r="AF52" s="383"/>
      <c r="AG52" s="384"/>
      <c r="AH52" s="326"/>
      <c r="AI52" s="384"/>
      <c r="AJ52" s="366"/>
      <c r="AK52" s="363"/>
      <c r="AL52" s="366"/>
      <c r="AM52" s="385"/>
      <c r="AN52" s="386"/>
      <c r="AO52" s="387"/>
      <c r="AP52" s="327"/>
      <c r="AQ52" s="366"/>
      <c r="AR52" s="366"/>
      <c r="AS52" s="388"/>
      <c r="AT52" s="389"/>
      <c r="AU52" s="390"/>
      <c r="AV52" s="328"/>
      <c r="AW52" s="418"/>
      <c r="AX52" s="418"/>
    </row>
    <row r="53" spans="1:50" s="125" customFormat="1" ht="27">
      <c r="A53" s="126"/>
      <c r="B53" s="419"/>
      <c r="C53" s="188" t="s">
        <v>55</v>
      </c>
      <c r="D53" s="126"/>
      <c r="E53" s="171"/>
      <c r="F53" s="171"/>
      <c r="G53" s="220"/>
      <c r="H53" s="173"/>
      <c r="I53" s="198"/>
      <c r="J53" s="391"/>
      <c r="K53" s="171"/>
      <c r="L53" s="329"/>
      <c r="M53" s="175"/>
      <c r="N53" s="201"/>
      <c r="O53" s="392"/>
      <c r="P53" s="171"/>
      <c r="Q53" s="221"/>
      <c r="R53" s="177"/>
      <c r="S53" s="204"/>
      <c r="T53" s="393"/>
      <c r="U53" s="171"/>
      <c r="V53" s="223"/>
      <c r="W53" s="179"/>
      <c r="X53" s="207"/>
      <c r="Y53" s="394"/>
      <c r="Z53" s="171"/>
      <c r="AA53" s="224"/>
      <c r="AB53" s="181"/>
      <c r="AC53" s="210"/>
      <c r="AD53" s="395"/>
      <c r="AE53" s="171"/>
      <c r="AF53" s="225"/>
      <c r="AG53" s="183"/>
      <c r="AH53" s="396"/>
      <c r="AI53" s="183"/>
      <c r="AJ53" s="171"/>
      <c r="AK53" s="126"/>
      <c r="AL53" s="171"/>
      <c r="AM53" s="226"/>
      <c r="AN53" s="185"/>
      <c r="AO53" s="228"/>
      <c r="AP53" s="397"/>
      <c r="AQ53" s="171"/>
      <c r="AR53" s="171"/>
      <c r="AS53" s="330"/>
      <c r="AT53" s="187"/>
      <c r="AU53" s="218"/>
      <c r="AV53" s="398"/>
      <c r="AW53" s="171"/>
      <c r="AX53" s="171"/>
    </row>
    <row r="54" spans="1:50" s="125" customFormat="1" ht="27">
      <c r="A54" s="126"/>
      <c r="B54" s="420"/>
      <c r="C54" s="126" t="s">
        <v>56</v>
      </c>
      <c r="D54" s="126"/>
      <c r="E54" s="171"/>
      <c r="F54" s="171"/>
      <c r="G54" s="220">
        <v>2283</v>
      </c>
      <c r="H54" s="173">
        <f>G54/H$7</f>
        <v>30.292375158394758</v>
      </c>
      <c r="I54" s="198">
        <f>G54/I$7</f>
        <v>8.9557508237878544E-2</v>
      </c>
      <c r="J54" s="321">
        <f>G54/G$17</f>
        <v>5.7523304421611566E-3</v>
      </c>
      <c r="K54" s="171"/>
      <c r="L54" s="200">
        <f t="shared" ref="L54:L55" si="30">$M$7*M54</f>
        <v>3506.3199999999997</v>
      </c>
      <c r="M54" s="175">
        <f>85.52</f>
        <v>85.52</v>
      </c>
      <c r="N54" s="201">
        <f>L54/N$7</f>
        <v>6.1085714285714277</v>
      </c>
      <c r="O54" s="322">
        <f>L54/L$17</f>
        <v>1.2312086633784526E-2</v>
      </c>
      <c r="P54" s="171"/>
      <c r="Q54" s="221">
        <f t="shared" ref="Q54:Q55" si="31">$R$7*R54</f>
        <v>0</v>
      </c>
      <c r="R54" s="222">
        <v>0</v>
      </c>
      <c r="S54" s="204">
        <f>Q54/S$7</f>
        <v>0</v>
      </c>
      <c r="T54" s="323">
        <f>Q54/Q$17</f>
        <v>0</v>
      </c>
      <c r="U54" s="171"/>
      <c r="V54" s="223">
        <f>$W$7*W54</f>
        <v>0</v>
      </c>
      <c r="W54" s="179">
        <v>0</v>
      </c>
      <c r="X54" s="207">
        <f>V54/X$7</f>
        <v>0</v>
      </c>
      <c r="Y54" s="324">
        <f>V54/V$17</f>
        <v>0</v>
      </c>
      <c r="Z54" s="171"/>
      <c r="AA54" s="224">
        <f>$AB$7*AB54</f>
        <v>0</v>
      </c>
      <c r="AB54" s="181">
        <v>0</v>
      </c>
      <c r="AC54" s="210">
        <f>AA54/AC$7</f>
        <v>0</v>
      </c>
      <c r="AD54" s="325">
        <f>AA54/AA$17</f>
        <v>0</v>
      </c>
      <c r="AE54" s="171"/>
      <c r="AF54" s="225">
        <v>3673</v>
      </c>
      <c r="AG54" s="183">
        <f>AF54/$AG$7</f>
        <v>3.975108225108225</v>
      </c>
      <c r="AH54" s="326">
        <f>AF54/AF$17</f>
        <v>4.0203414170691025E-3</v>
      </c>
      <c r="AI54" s="183"/>
      <c r="AJ54" s="171"/>
      <c r="AK54" s="126"/>
      <c r="AL54" s="171"/>
      <c r="AM54" s="226">
        <f>AN$7*AN54</f>
        <v>101</v>
      </c>
      <c r="AN54" s="185">
        <v>101</v>
      </c>
      <c r="AO54" s="228">
        <f>AM54/AO$7</f>
        <v>2.1041666666666665</v>
      </c>
      <c r="AP54" s="327">
        <f>AM54/AM$17</f>
        <v>1.4027777777777778E-2</v>
      </c>
      <c r="AQ54" s="171"/>
      <c r="AR54" s="171"/>
      <c r="AS54" s="217">
        <f>AT$7*AT54</f>
        <v>101</v>
      </c>
      <c r="AT54" s="187">
        <v>101</v>
      </c>
      <c r="AU54" s="218">
        <f>AS54/AU$7</f>
        <v>2.2444444444444445</v>
      </c>
      <c r="AV54" s="328">
        <f>AS54/AS$17</f>
        <v>1.4418050371243383E-2</v>
      </c>
      <c r="AW54" s="171"/>
      <c r="AX54" s="171"/>
    </row>
    <row r="55" spans="1:50" s="125" customFormat="1" ht="27">
      <c r="A55" s="126"/>
      <c r="B55" s="420"/>
      <c r="C55" s="126" t="s">
        <v>57</v>
      </c>
      <c r="D55" s="126"/>
      <c r="E55" s="171"/>
      <c r="F55" s="171"/>
      <c r="G55" s="220">
        <v>69878</v>
      </c>
      <c r="H55" s="173">
        <f t="shared" ref="H55" si="32">G55/H$7</f>
        <v>927.18816965322333</v>
      </c>
      <c r="I55" s="198">
        <f>G55/I$7</f>
        <v>2.7411737015534285</v>
      </c>
      <c r="J55" s="321">
        <f>G55/G$17</f>
        <v>0.17606716891692389</v>
      </c>
      <c r="K55" s="171"/>
      <c r="L55" s="200">
        <f t="shared" si="30"/>
        <v>149941.1</v>
      </c>
      <c r="M55" s="175">
        <f>3657.1</f>
        <v>3657.1</v>
      </c>
      <c r="N55" s="201">
        <f>L55/N$7</f>
        <v>261.22142857142859</v>
      </c>
      <c r="O55" s="322">
        <f>L55/L$17</f>
        <v>0.52650294701138212</v>
      </c>
      <c r="P55" s="171"/>
      <c r="Q55" s="221">
        <f t="shared" si="31"/>
        <v>0</v>
      </c>
      <c r="R55" s="222">
        <v>0</v>
      </c>
      <c r="S55" s="204">
        <f>Q55/S$7</f>
        <v>0</v>
      </c>
      <c r="T55" s="323">
        <f>Q55/Q$17</f>
        <v>0</v>
      </c>
      <c r="U55" s="171"/>
      <c r="V55" s="223">
        <f>$W$7*W55</f>
        <v>0</v>
      </c>
      <c r="W55" s="179">
        <v>0</v>
      </c>
      <c r="X55" s="207">
        <f>V55/X$7</f>
        <v>0</v>
      </c>
      <c r="Y55" s="324">
        <f>V55/V$17</f>
        <v>0</v>
      </c>
      <c r="Z55" s="171"/>
      <c r="AA55" s="224">
        <f>$AB$7*AB55</f>
        <v>0</v>
      </c>
      <c r="AB55" s="181">
        <v>0</v>
      </c>
      <c r="AC55" s="210">
        <f>AA55/AC$7</f>
        <v>0</v>
      </c>
      <c r="AD55" s="325">
        <f>AA55/AA$17</f>
        <v>0</v>
      </c>
      <c r="AE55" s="171"/>
      <c r="AF55" s="225">
        <v>122955</v>
      </c>
      <c r="AG55" s="183">
        <f>AF55/$AG$7</f>
        <v>133.06818181818181</v>
      </c>
      <c r="AH55" s="326">
        <f>AF55/AF$17</f>
        <v>0.13458237923651822</v>
      </c>
      <c r="AI55" s="183"/>
      <c r="AJ55" s="171"/>
      <c r="AK55" s="126"/>
      <c r="AL55" s="171"/>
      <c r="AM55" s="226">
        <f>AN$7*AN55</f>
        <v>1559</v>
      </c>
      <c r="AN55" s="185">
        <v>1559</v>
      </c>
      <c r="AO55" s="228">
        <f>AM55/AO$7</f>
        <v>32.479166666666664</v>
      </c>
      <c r="AP55" s="327">
        <f>AM55/AM$17</f>
        <v>0.21652777777777779</v>
      </c>
      <c r="AQ55" s="171"/>
      <c r="AR55" s="171"/>
      <c r="AS55" s="217">
        <f>AT$7*AT55</f>
        <v>1500</v>
      </c>
      <c r="AT55" s="187">
        <v>1500</v>
      </c>
      <c r="AU55" s="218">
        <f>AS55/AU$7</f>
        <v>33.333333333333336</v>
      </c>
      <c r="AV55" s="328">
        <f>AS55/AS$17</f>
        <v>0.21412946095906016</v>
      </c>
      <c r="AW55" s="171"/>
      <c r="AX55" s="171"/>
    </row>
    <row r="56" spans="1:50" s="125" customFormat="1" ht="27">
      <c r="A56" s="126"/>
      <c r="B56" s="127"/>
      <c r="C56" s="126"/>
      <c r="D56" s="126"/>
      <c r="E56" s="171"/>
      <c r="F56" s="171"/>
      <c r="G56" s="304"/>
      <c r="H56" s="173"/>
      <c r="I56" s="198"/>
      <c r="J56" s="391"/>
      <c r="K56" s="171"/>
      <c r="L56" s="306"/>
      <c r="M56" s="175"/>
      <c r="N56" s="201"/>
      <c r="O56" s="392"/>
      <c r="P56" s="171"/>
      <c r="Q56" s="308"/>
      <c r="R56" s="177"/>
      <c r="S56" s="204"/>
      <c r="T56" s="393"/>
      <c r="U56" s="171"/>
      <c r="V56" s="310"/>
      <c r="W56" s="179"/>
      <c r="X56" s="207"/>
      <c r="Y56" s="394"/>
      <c r="Z56" s="171"/>
      <c r="AA56" s="312"/>
      <c r="AB56" s="181"/>
      <c r="AC56" s="210"/>
      <c r="AD56" s="395"/>
      <c r="AE56" s="171"/>
      <c r="AF56" s="314"/>
      <c r="AG56" s="183"/>
      <c r="AH56" s="396"/>
      <c r="AI56" s="183"/>
      <c r="AJ56" s="171"/>
      <c r="AK56" s="126"/>
      <c r="AL56" s="171"/>
      <c r="AM56" s="316"/>
      <c r="AN56" s="185"/>
      <c r="AO56" s="228"/>
      <c r="AP56" s="397"/>
      <c r="AQ56" s="171"/>
      <c r="AR56" s="171"/>
      <c r="AS56" s="318"/>
      <c r="AT56" s="187"/>
      <c r="AU56" s="218"/>
      <c r="AV56" s="398"/>
      <c r="AW56" s="171"/>
      <c r="AX56" s="171"/>
    </row>
    <row r="57" spans="1:50" s="125" customFormat="1" ht="27">
      <c r="A57" s="126"/>
      <c r="B57" s="127"/>
      <c r="C57" s="238" t="s">
        <v>55</v>
      </c>
      <c r="D57" s="126"/>
      <c r="E57" s="154"/>
      <c r="F57" s="154"/>
      <c r="G57" s="400">
        <f>SUM(G53:G56)</f>
        <v>72161</v>
      </c>
      <c r="H57" s="332">
        <f>SUM(H53:H56)</f>
        <v>957.48054481161807</v>
      </c>
      <c r="I57" s="333">
        <f>SUM(I53:I56)</f>
        <v>2.8307312097913071</v>
      </c>
      <c r="J57" s="334">
        <f>G57/G$17</f>
        <v>0.18181949935908506</v>
      </c>
      <c r="K57" s="154"/>
      <c r="L57" s="401">
        <f>SUM(L53:L56)</f>
        <v>153447.42000000001</v>
      </c>
      <c r="M57" s="336">
        <f>SUM(M53:M56)</f>
        <v>3742.62</v>
      </c>
      <c r="N57" s="337">
        <f>SUM(N53:N56)</f>
        <v>267.33000000000004</v>
      </c>
      <c r="O57" s="338">
        <f>L57/L$17</f>
        <v>0.53881503364516659</v>
      </c>
      <c r="P57" s="154"/>
      <c r="Q57" s="402">
        <f>SUM(Q53:Q56)</f>
        <v>0</v>
      </c>
      <c r="R57" s="340">
        <f>SUM(R53:R56)</f>
        <v>0</v>
      </c>
      <c r="S57" s="341">
        <f>SUM(S53:S56)</f>
        <v>0</v>
      </c>
      <c r="T57" s="342">
        <f>Q57/Q$17</f>
        <v>0</v>
      </c>
      <c r="U57" s="154"/>
      <c r="V57" s="403">
        <f>SUM(V53:V56)</f>
        <v>0</v>
      </c>
      <c r="W57" s="344">
        <f>SUM(W53:W56)</f>
        <v>0</v>
      </c>
      <c r="X57" s="345">
        <f>SUM(X53:X56)</f>
        <v>0</v>
      </c>
      <c r="Y57" s="346">
        <f>V57/V$17</f>
        <v>0</v>
      </c>
      <c r="Z57" s="154"/>
      <c r="AA57" s="404">
        <f>SUM(AA53:AA56)</f>
        <v>0</v>
      </c>
      <c r="AB57" s="348">
        <f>SUM(AB53:AB56)</f>
        <v>0</v>
      </c>
      <c r="AC57" s="349">
        <f>SUM(AC53:AC56)</f>
        <v>0</v>
      </c>
      <c r="AD57" s="350">
        <f>AA57/AA$17</f>
        <v>0</v>
      </c>
      <c r="AE57" s="154"/>
      <c r="AF57" s="405">
        <f>SUM(AF53:AF56)</f>
        <v>126628</v>
      </c>
      <c r="AG57" s="352">
        <f>SUM(AG53:AG56)</f>
        <v>137.04329004329003</v>
      </c>
      <c r="AH57" s="353">
        <f>AF57/AF$17</f>
        <v>0.13860272065358734</v>
      </c>
      <c r="AI57" s="166"/>
      <c r="AJ57" s="154"/>
      <c r="AK57" s="126"/>
      <c r="AL57" s="154"/>
      <c r="AM57" s="406">
        <f>SUM(AM53:AM56)</f>
        <v>1660</v>
      </c>
      <c r="AN57" s="355">
        <f>SUM(AN53:AN56)</f>
        <v>1660</v>
      </c>
      <c r="AO57" s="356">
        <f>SUM(AO53:AO56)</f>
        <v>34.583333333333329</v>
      </c>
      <c r="AP57" s="357">
        <f>AM57/AM$17</f>
        <v>0.23055555555555557</v>
      </c>
      <c r="AQ57" s="154"/>
      <c r="AR57" s="154"/>
      <c r="AS57" s="407">
        <f>SUM(AS53:AS56)</f>
        <v>1601</v>
      </c>
      <c r="AT57" s="359">
        <f>SUM(AT53:AT56)</f>
        <v>1601</v>
      </c>
      <c r="AU57" s="360">
        <f>SUM(AU53:AU56)</f>
        <v>35.577777777777783</v>
      </c>
      <c r="AV57" s="361">
        <f>AS57/AS$17</f>
        <v>0.22854751133030354</v>
      </c>
      <c r="AW57" s="154"/>
      <c r="AX57" s="154"/>
    </row>
    <row r="58" spans="1:50" s="125" customFormat="1" ht="27.75" thickBot="1">
      <c r="A58" s="363"/>
      <c r="B58" s="364"/>
      <c r="C58" s="365"/>
      <c r="D58" s="363"/>
      <c r="E58" s="366"/>
      <c r="F58" s="366"/>
      <c r="G58" s="367"/>
      <c r="H58" s="368"/>
      <c r="I58" s="369"/>
      <c r="J58" s="321"/>
      <c r="K58" s="366"/>
      <c r="L58" s="370"/>
      <c r="M58" s="371"/>
      <c r="N58" s="372"/>
      <c r="O58" s="322"/>
      <c r="P58" s="366"/>
      <c r="Q58" s="373"/>
      <c r="R58" s="374"/>
      <c r="S58" s="375"/>
      <c r="T58" s="323"/>
      <c r="U58" s="366"/>
      <c r="V58" s="376"/>
      <c r="W58" s="377"/>
      <c r="X58" s="378"/>
      <c r="Y58" s="324"/>
      <c r="Z58" s="366"/>
      <c r="AA58" s="379"/>
      <c r="AB58" s="380"/>
      <c r="AC58" s="381"/>
      <c r="AD58" s="325"/>
      <c r="AE58" s="382"/>
      <c r="AF58" s="383"/>
      <c r="AG58" s="384"/>
      <c r="AH58" s="326"/>
      <c r="AI58" s="384"/>
      <c r="AJ58" s="366"/>
      <c r="AK58" s="363"/>
      <c r="AL58" s="366"/>
      <c r="AM58" s="385"/>
      <c r="AN58" s="386"/>
      <c r="AO58" s="387"/>
      <c r="AP58" s="327"/>
      <c r="AQ58" s="366"/>
      <c r="AR58" s="366"/>
      <c r="AS58" s="388"/>
      <c r="AT58" s="389"/>
      <c r="AU58" s="390"/>
      <c r="AV58" s="328"/>
      <c r="AW58" s="362"/>
      <c r="AX58" s="362"/>
    </row>
    <row r="59" spans="1:50" s="125" customFormat="1" ht="27">
      <c r="A59" s="126"/>
      <c r="B59" s="127"/>
      <c r="C59" s="238" t="s">
        <v>58</v>
      </c>
      <c r="D59" s="128"/>
      <c r="E59" s="239"/>
      <c r="F59" s="239"/>
      <c r="G59" s="421">
        <f>G48+G57</f>
        <v>295160</v>
      </c>
      <c r="H59" s="422">
        <f>H57+H48</f>
        <v>3916.3808373858064</v>
      </c>
      <c r="I59" s="423">
        <f>I57+I48</f>
        <v>11.578534442177936</v>
      </c>
      <c r="J59" s="424">
        <f>G59/G$17</f>
        <v>0.74369594976271869</v>
      </c>
      <c r="K59" s="239"/>
      <c r="L59" s="425">
        <f>L48+L57</f>
        <v>214195.07</v>
      </c>
      <c r="M59" s="426">
        <f>M57+M48</f>
        <v>5224.2700000000004</v>
      </c>
      <c r="N59" s="427">
        <f>N57+N48</f>
        <v>373.1621428571429</v>
      </c>
      <c r="O59" s="428">
        <f>L59/L$17</f>
        <v>0.75212423805287054</v>
      </c>
      <c r="P59" s="239"/>
      <c r="Q59" s="429">
        <f>Q48+Q57</f>
        <v>587.78</v>
      </c>
      <c r="R59" s="430">
        <f>R57+R48</f>
        <v>587.78</v>
      </c>
      <c r="S59" s="431">
        <f>S57+S48</f>
        <v>292.42786069651743</v>
      </c>
      <c r="T59" s="432">
        <f>Q59/Q$17</f>
        <v>0.47746232890621826</v>
      </c>
      <c r="U59" s="239"/>
      <c r="V59" s="433">
        <f>V48+V57</f>
        <v>721.11</v>
      </c>
      <c r="W59" s="434">
        <f>W57+W48</f>
        <v>721.11</v>
      </c>
      <c r="X59" s="435">
        <f>X57+X48</f>
        <v>177.17690417690415</v>
      </c>
      <c r="Y59" s="436">
        <f>V59/V$17</f>
        <v>0.5075550109927669</v>
      </c>
      <c r="Z59" s="239"/>
      <c r="AA59" s="437">
        <f>AA48+AA57</f>
        <v>443.90000000000003</v>
      </c>
      <c r="AB59" s="438">
        <f>AB57+AB48</f>
        <v>443.90000000000003</v>
      </c>
      <c r="AC59" s="439">
        <f>AC57+AC48</f>
        <v>60.230664857530527</v>
      </c>
      <c r="AD59" s="440">
        <f>AA59/AA$17</f>
        <v>0.39403313642032567</v>
      </c>
      <c r="AE59" s="239"/>
      <c r="AF59" s="441">
        <f>AF48+AF57</f>
        <v>483805</v>
      </c>
      <c r="AG59" s="442">
        <f>AG57+AG48</f>
        <v>523.59848484848476</v>
      </c>
      <c r="AH59" s="443">
        <f>AF59/AF$17</f>
        <v>0.52955656936703432</v>
      </c>
      <c r="AI59" s="263"/>
      <c r="AJ59" s="239"/>
      <c r="AK59" s="128"/>
      <c r="AL59" s="239"/>
      <c r="AM59" s="444">
        <f>AM48+AM57</f>
        <v>4652</v>
      </c>
      <c r="AN59" s="445">
        <f>AN57+AN48</f>
        <v>4652</v>
      </c>
      <c r="AO59" s="446">
        <f>AO57+AO48</f>
        <v>96.916666666666657</v>
      </c>
      <c r="AP59" s="447">
        <f>AM59/AM$17</f>
        <v>0.64611111111111108</v>
      </c>
      <c r="AQ59" s="239"/>
      <c r="AR59" s="239"/>
      <c r="AS59" s="448">
        <f>AS48+AS57</f>
        <v>5176</v>
      </c>
      <c r="AT59" s="449">
        <f>AT57+AT48</f>
        <v>5176</v>
      </c>
      <c r="AU59" s="450">
        <f>AU57+AU48</f>
        <v>115.02222222222223</v>
      </c>
      <c r="AV59" s="451">
        <f>AS59/AS$17</f>
        <v>0.73888939328273029</v>
      </c>
      <c r="AW59" s="239"/>
      <c r="AX59" s="239"/>
    </row>
    <row r="60" spans="1:50" s="125" customFormat="1" ht="27.75" thickBot="1">
      <c r="A60" s="126"/>
      <c r="B60" s="127"/>
      <c r="C60" s="126"/>
      <c r="D60" s="126"/>
      <c r="E60" s="171"/>
      <c r="F60" s="171"/>
      <c r="G60" s="304"/>
      <c r="H60" s="173"/>
      <c r="I60" s="198"/>
      <c r="J60" s="391"/>
      <c r="K60" s="171"/>
      <c r="L60" s="306"/>
      <c r="M60" s="175"/>
      <c r="N60" s="201"/>
      <c r="O60" s="392"/>
      <c r="P60" s="171"/>
      <c r="Q60" s="308"/>
      <c r="R60" s="177"/>
      <c r="S60" s="204"/>
      <c r="T60" s="393"/>
      <c r="U60" s="171"/>
      <c r="V60" s="310"/>
      <c r="W60" s="179"/>
      <c r="X60" s="207"/>
      <c r="Y60" s="394"/>
      <c r="Z60" s="171"/>
      <c r="AA60" s="312"/>
      <c r="AB60" s="181"/>
      <c r="AC60" s="210"/>
      <c r="AD60" s="395"/>
      <c r="AE60" s="171"/>
      <c r="AF60" s="314"/>
      <c r="AG60" s="183"/>
      <c r="AH60" s="396"/>
      <c r="AI60" s="183"/>
      <c r="AJ60" s="171"/>
      <c r="AK60" s="126"/>
      <c r="AL60" s="171"/>
      <c r="AM60" s="316"/>
      <c r="AN60" s="185"/>
      <c r="AO60" s="228"/>
      <c r="AP60" s="397"/>
      <c r="AQ60" s="171"/>
      <c r="AR60" s="171"/>
      <c r="AS60" s="318"/>
      <c r="AT60" s="187"/>
      <c r="AU60" s="218"/>
      <c r="AV60" s="398"/>
      <c r="AW60" s="171"/>
      <c r="AX60" s="171"/>
    </row>
    <row r="61" spans="1:50" s="125" customFormat="1" ht="27.75" thickTop="1">
      <c r="A61" s="452"/>
      <c r="B61" s="453"/>
      <c r="C61" s="454" t="s">
        <v>59</v>
      </c>
      <c r="D61" s="452"/>
      <c r="E61" s="455"/>
      <c r="F61" s="455"/>
      <c r="G61" s="456">
        <f>G51-G57</f>
        <v>101722.62400000001</v>
      </c>
      <c r="H61" s="457">
        <f>H51-H57</f>
        <v>1349.7239983812224</v>
      </c>
      <c r="I61" s="458">
        <f>I51-I57</f>
        <v>3.9903743919661094</v>
      </c>
      <c r="J61" s="459">
        <f>G61/G$17</f>
        <v>0.25630405023728126</v>
      </c>
      <c r="K61" s="455"/>
      <c r="L61" s="456">
        <f>L51-L57</f>
        <v>70591.75</v>
      </c>
      <c r="M61" s="457">
        <f>M51-M57</f>
        <v>1721.7500000000009</v>
      </c>
      <c r="N61" s="458">
        <f>N51-N57</f>
        <v>122.98214285714278</v>
      </c>
      <c r="O61" s="459">
        <f>L61/L$17</f>
        <v>0.24787576194712943</v>
      </c>
      <c r="P61" s="455"/>
      <c r="Q61" s="456">
        <f>Q51-Q57</f>
        <v>643.27</v>
      </c>
      <c r="R61" s="457">
        <f>R51-R57</f>
        <v>643.27</v>
      </c>
      <c r="S61" s="458">
        <f>S51-S57</f>
        <v>320.03482587064673</v>
      </c>
      <c r="T61" s="459">
        <f>Q61/Q$17</f>
        <v>0.52253767109378169</v>
      </c>
      <c r="U61" s="455"/>
      <c r="V61" s="456">
        <f>V51-V57</f>
        <v>699.64240000000007</v>
      </c>
      <c r="W61" s="457">
        <f>W51-W57</f>
        <v>699.64240000000007</v>
      </c>
      <c r="X61" s="458">
        <f>X51-X57</f>
        <v>171.90230958230961</v>
      </c>
      <c r="Y61" s="459">
        <f>V61/V$17</f>
        <v>0.4924449890072331</v>
      </c>
      <c r="Z61" s="455"/>
      <c r="AA61" s="456">
        <f>AA51-AA57</f>
        <v>682.65499999999997</v>
      </c>
      <c r="AB61" s="457">
        <f>AB51-AB57</f>
        <v>682.65499999999997</v>
      </c>
      <c r="AC61" s="458">
        <f>AC51-AC57</f>
        <v>92.626187245590231</v>
      </c>
      <c r="AD61" s="459">
        <f>AA61/AA$17</f>
        <v>0.60596686357967422</v>
      </c>
      <c r="AE61" s="455"/>
      <c r="AF61" s="456">
        <f>AF51-AF57</f>
        <v>429799</v>
      </c>
      <c r="AG61" s="457">
        <f>AG51-AG57</f>
        <v>465.1504329004328</v>
      </c>
      <c r="AH61" s="459">
        <f>AF61/AF$17</f>
        <v>0.47044343063296573</v>
      </c>
      <c r="AI61" s="455"/>
      <c r="AJ61" s="455"/>
      <c r="AK61" s="452"/>
      <c r="AL61" s="455"/>
      <c r="AM61" s="456">
        <f>AM51-AM57</f>
        <v>2548</v>
      </c>
      <c r="AN61" s="457">
        <f>AN51-AN57</f>
        <v>2548</v>
      </c>
      <c r="AO61" s="458">
        <f>AO51-AO57</f>
        <v>53.083333333333343</v>
      </c>
      <c r="AP61" s="459">
        <f>AM61/AM$17</f>
        <v>0.35388888888888886</v>
      </c>
      <c r="AQ61" s="455"/>
      <c r="AR61" s="455"/>
      <c r="AS61" s="456">
        <f>AS51-AS57</f>
        <v>1829.1080000000002</v>
      </c>
      <c r="AT61" s="457">
        <f>AT51-AT57</f>
        <v>1829.1080000000002</v>
      </c>
      <c r="AU61" s="458">
        <f>AU51-AU57</f>
        <v>40.646844444444454</v>
      </c>
      <c r="AV61" s="459">
        <f>AS61/AS$17</f>
        <v>0.26111060671726977</v>
      </c>
      <c r="AW61" s="455"/>
      <c r="AX61" s="455"/>
    </row>
    <row r="62" spans="1:50" s="125" customFormat="1" ht="27">
      <c r="A62" s="363"/>
      <c r="B62" s="364"/>
      <c r="C62" s="365"/>
      <c r="D62" s="363"/>
      <c r="E62" s="366"/>
      <c r="F62" s="366"/>
      <c r="G62" s="367"/>
      <c r="H62" s="368"/>
      <c r="I62" s="369"/>
      <c r="J62" s="321"/>
      <c r="K62" s="366"/>
      <c r="L62" s="370"/>
      <c r="M62" s="371"/>
      <c r="N62" s="372"/>
      <c r="O62" s="322"/>
      <c r="P62" s="366"/>
      <c r="Q62" s="373"/>
      <c r="R62" s="374"/>
      <c r="S62" s="375"/>
      <c r="T62" s="323"/>
      <c r="U62" s="366"/>
      <c r="V62" s="376"/>
      <c r="W62" s="377"/>
      <c r="X62" s="378"/>
      <c r="Y62" s="324"/>
      <c r="Z62" s="366"/>
      <c r="AA62" s="379"/>
      <c r="AB62" s="380"/>
      <c r="AC62" s="381"/>
      <c r="AD62" s="325"/>
      <c r="AE62" s="382"/>
      <c r="AF62" s="383"/>
      <c r="AG62" s="384"/>
      <c r="AH62" s="326"/>
      <c r="AI62" s="384"/>
      <c r="AJ62" s="366"/>
      <c r="AK62" s="363"/>
      <c r="AL62" s="366"/>
      <c r="AM62" s="385"/>
      <c r="AN62" s="386"/>
      <c r="AO62" s="387"/>
      <c r="AP62" s="327"/>
      <c r="AQ62" s="366"/>
      <c r="AR62" s="366"/>
      <c r="AS62" s="388"/>
      <c r="AT62" s="389"/>
      <c r="AU62" s="390"/>
      <c r="AV62" s="328"/>
      <c r="AW62" s="460"/>
      <c r="AX62" s="460"/>
    </row>
    <row r="63" spans="1:50" s="125" customFormat="1" ht="27">
      <c r="A63" s="126"/>
      <c r="B63" s="127"/>
      <c r="C63" s="188" t="s">
        <v>60</v>
      </c>
      <c r="D63" s="126"/>
      <c r="E63" s="171"/>
      <c r="F63" s="171"/>
      <c r="G63" s="220"/>
      <c r="H63" s="173"/>
      <c r="I63" s="198"/>
      <c r="J63" s="321"/>
      <c r="K63" s="171"/>
      <c r="L63" s="329"/>
      <c r="M63" s="175"/>
      <c r="N63" s="201"/>
      <c r="O63" s="322"/>
      <c r="P63" s="171"/>
      <c r="Q63" s="221"/>
      <c r="R63" s="177"/>
      <c r="S63" s="204"/>
      <c r="T63" s="323"/>
      <c r="U63" s="171"/>
      <c r="V63" s="223"/>
      <c r="W63" s="179"/>
      <c r="X63" s="207"/>
      <c r="Y63" s="324"/>
      <c r="Z63" s="171"/>
      <c r="AA63" s="224"/>
      <c r="AB63" s="181"/>
      <c r="AC63" s="210"/>
      <c r="AD63" s="325"/>
      <c r="AE63" s="171"/>
      <c r="AF63" s="225"/>
      <c r="AG63" s="183"/>
      <c r="AH63" s="326"/>
      <c r="AI63" s="183"/>
      <c r="AJ63" s="171"/>
      <c r="AK63" s="126"/>
      <c r="AL63" s="171"/>
      <c r="AM63" s="226"/>
      <c r="AN63" s="185"/>
      <c r="AO63" s="228"/>
      <c r="AP63" s="327"/>
      <c r="AQ63" s="171"/>
      <c r="AR63" s="171"/>
      <c r="AS63" s="330"/>
      <c r="AT63" s="187"/>
      <c r="AU63" s="218"/>
      <c r="AV63" s="328"/>
      <c r="AW63" s="171"/>
      <c r="AX63" s="171"/>
    </row>
    <row r="64" spans="1:50" s="125" customFormat="1" ht="14.25" customHeight="1">
      <c r="A64" s="126"/>
      <c r="B64" s="127"/>
      <c r="C64" s="126"/>
      <c r="D64" s="126"/>
      <c r="E64" s="171"/>
      <c r="F64" s="171"/>
      <c r="G64" s="220"/>
      <c r="H64" s="173"/>
      <c r="I64" s="198"/>
      <c r="J64" s="321"/>
      <c r="K64" s="171"/>
      <c r="L64" s="329"/>
      <c r="M64" s="175"/>
      <c r="N64" s="201"/>
      <c r="O64" s="322"/>
      <c r="P64" s="171"/>
      <c r="Q64" s="221"/>
      <c r="R64" s="177"/>
      <c r="S64" s="204"/>
      <c r="T64" s="323"/>
      <c r="U64" s="171"/>
      <c r="V64" s="223"/>
      <c r="W64" s="179"/>
      <c r="X64" s="207"/>
      <c r="Y64" s="324"/>
      <c r="Z64" s="171"/>
      <c r="AA64" s="224"/>
      <c r="AB64" s="181"/>
      <c r="AC64" s="210"/>
      <c r="AD64" s="325"/>
      <c r="AE64" s="171"/>
      <c r="AF64" s="225"/>
      <c r="AG64" s="183"/>
      <c r="AH64" s="213"/>
      <c r="AI64" s="183"/>
      <c r="AJ64" s="171"/>
      <c r="AK64" s="126"/>
      <c r="AL64" s="171"/>
      <c r="AM64" s="226"/>
      <c r="AN64" s="185"/>
      <c r="AO64" s="228"/>
      <c r="AP64" s="327"/>
      <c r="AQ64" s="171"/>
      <c r="AR64" s="171"/>
      <c r="AS64" s="330"/>
      <c r="AT64" s="187"/>
      <c r="AU64" s="218"/>
      <c r="AV64" s="328"/>
      <c r="AW64" s="171"/>
      <c r="AX64" s="171"/>
    </row>
    <row r="65" spans="1:50" s="125" customFormat="1" ht="27">
      <c r="A65" s="126"/>
      <c r="B65" s="127"/>
      <c r="C65" s="126" t="s">
        <v>61</v>
      </c>
      <c r="D65" s="126"/>
      <c r="E65" s="171"/>
      <c r="F65" s="171"/>
      <c r="G65" s="220">
        <v>0</v>
      </c>
      <c r="H65" s="173">
        <f>G65/H$7</f>
        <v>0</v>
      </c>
      <c r="I65" s="173">
        <f>G65/I$7</f>
        <v>0</v>
      </c>
      <c r="J65" s="321">
        <f>G65/G$17</f>
        <v>0</v>
      </c>
      <c r="K65" s="171"/>
      <c r="L65" s="200">
        <f t="shared" ref="L65:L69" si="33">$M$7*M65</f>
        <v>238.20999999999998</v>
      </c>
      <c r="M65" s="175">
        <f>5.81</f>
        <v>5.81</v>
      </c>
      <c r="N65" s="201">
        <f>L65/N$7</f>
        <v>0.41499999999999998</v>
      </c>
      <c r="O65" s="322">
        <f>L65/L$17</f>
        <v>8.3645022617268581E-4</v>
      </c>
      <c r="P65" s="171"/>
      <c r="Q65" s="221">
        <f t="shared" ref="Q65:Q69" si="34">$R$7*R65</f>
        <v>0</v>
      </c>
      <c r="R65" s="222">
        <v>0</v>
      </c>
      <c r="S65" s="204">
        <f>Q65/S$7</f>
        <v>0</v>
      </c>
      <c r="T65" s="323">
        <f>Q65/Q$17</f>
        <v>0</v>
      </c>
      <c r="U65" s="171"/>
      <c r="V65" s="223">
        <f>$W$7*W65</f>
        <v>0</v>
      </c>
      <c r="W65" s="179">
        <v>0</v>
      </c>
      <c r="X65" s="207">
        <f>V65/X$7</f>
        <v>0</v>
      </c>
      <c r="Y65" s="324">
        <f>V65/V$17</f>
        <v>0</v>
      </c>
      <c r="Z65" s="171"/>
      <c r="AA65" s="224">
        <f>$AB$7*AB65</f>
        <v>0</v>
      </c>
      <c r="AB65" s="181">
        <v>0</v>
      </c>
      <c r="AC65" s="210">
        <f>AA65/AC$7</f>
        <v>0</v>
      </c>
      <c r="AD65" s="325">
        <f>AA65/AA$17</f>
        <v>0</v>
      </c>
      <c r="AE65" s="171"/>
      <c r="AF65" s="225">
        <v>0</v>
      </c>
      <c r="AG65" s="183">
        <v>0</v>
      </c>
      <c r="AH65" s="213">
        <f>AF65/AF$17</f>
        <v>0</v>
      </c>
      <c r="AI65" s="183"/>
      <c r="AJ65" s="171"/>
      <c r="AK65" s="126"/>
      <c r="AL65" s="171"/>
      <c r="AM65" s="226">
        <f>AN$7*AN65</f>
        <v>100</v>
      </c>
      <c r="AN65" s="185">
        <v>100</v>
      </c>
      <c r="AO65" s="228">
        <f>AM65/AO$7</f>
        <v>2.0833333333333335</v>
      </c>
      <c r="AP65" s="327">
        <f>AM65/AM$17</f>
        <v>1.3888888888888888E-2</v>
      </c>
      <c r="AQ65" s="171"/>
      <c r="AR65" s="171"/>
      <c r="AS65" s="217">
        <f>AT$7*AT65</f>
        <v>100</v>
      </c>
      <c r="AT65" s="187">
        <v>100</v>
      </c>
      <c r="AU65" s="218">
        <f>AS65/AU$7</f>
        <v>2.2222222222222223</v>
      </c>
      <c r="AV65" s="328">
        <f>AS65/AS$17</f>
        <v>1.4275297397270677E-2</v>
      </c>
      <c r="AW65" s="171"/>
      <c r="AX65" s="171"/>
    </row>
    <row r="66" spans="1:50" s="125" customFormat="1" ht="27">
      <c r="A66" s="126"/>
      <c r="B66" s="127"/>
      <c r="C66" s="126" t="s">
        <v>62</v>
      </c>
      <c r="D66" s="126"/>
      <c r="E66" s="171"/>
      <c r="F66" s="171"/>
      <c r="G66" s="220">
        <v>0</v>
      </c>
      <c r="H66" s="173">
        <f>G66/H$7</f>
        <v>0</v>
      </c>
      <c r="I66" s="173">
        <f>G66/I$7</f>
        <v>0</v>
      </c>
      <c r="J66" s="321">
        <f>G66/G$17</f>
        <v>0</v>
      </c>
      <c r="K66" s="171"/>
      <c r="L66" s="200">
        <f t="shared" si="33"/>
        <v>5309.5</v>
      </c>
      <c r="M66" s="518">
        <v>129.5</v>
      </c>
      <c r="N66" s="201">
        <f>L66/N$7</f>
        <v>9.25</v>
      </c>
      <c r="O66" s="322">
        <f>L66/L$17</f>
        <v>1.8643770101439385E-2</v>
      </c>
      <c r="P66" s="171"/>
      <c r="Q66" s="221">
        <f t="shared" si="34"/>
        <v>0</v>
      </c>
      <c r="R66" s="222">
        <v>0</v>
      </c>
      <c r="S66" s="204">
        <f>Q66/S$7</f>
        <v>0</v>
      </c>
      <c r="T66" s="323">
        <f>Q66/Q$17</f>
        <v>0</v>
      </c>
      <c r="U66" s="171"/>
      <c r="V66" s="223">
        <f>$W$7*W66</f>
        <v>0</v>
      </c>
      <c r="W66" s="179">
        <v>0</v>
      </c>
      <c r="X66" s="207">
        <f>V66/X$7</f>
        <v>0</v>
      </c>
      <c r="Y66" s="324">
        <f>V66/V$17</f>
        <v>0</v>
      </c>
      <c r="Z66" s="171"/>
      <c r="AA66" s="224">
        <f t="shared" ref="AA66:AA69" si="35">$AB$7*AB66</f>
        <v>0</v>
      </c>
      <c r="AB66" s="181">
        <v>0</v>
      </c>
      <c r="AC66" s="210">
        <f>AA66/AC$7</f>
        <v>0</v>
      </c>
      <c r="AD66" s="325">
        <f>AA66/AA$17</f>
        <v>0</v>
      </c>
      <c r="AE66" s="171"/>
      <c r="AF66" s="225">
        <v>0</v>
      </c>
      <c r="AG66" s="183">
        <v>0</v>
      </c>
      <c r="AH66" s="213">
        <f>AF66/AF$17</f>
        <v>0</v>
      </c>
      <c r="AI66" s="183"/>
      <c r="AJ66" s="171"/>
      <c r="AK66" s="126"/>
      <c r="AL66" s="171"/>
      <c r="AM66" s="226">
        <f>AN$7*AN66</f>
        <v>150</v>
      </c>
      <c r="AN66" s="185">
        <v>150</v>
      </c>
      <c r="AO66" s="228">
        <f>AM66/AO$7</f>
        <v>3.125</v>
      </c>
      <c r="AP66" s="327">
        <f>AM66/AM$17</f>
        <v>2.0833333333333332E-2</v>
      </c>
      <c r="AQ66" s="171"/>
      <c r="AR66" s="171"/>
      <c r="AS66" s="217">
        <f>AT$7*AT66</f>
        <v>150</v>
      </c>
      <c r="AT66" s="187">
        <v>150</v>
      </c>
      <c r="AU66" s="218">
        <f>AS66/AU$7</f>
        <v>3.3333333333333335</v>
      </c>
      <c r="AV66" s="328">
        <f>AS66/AS$17</f>
        <v>2.1412946095906014E-2</v>
      </c>
      <c r="AW66" s="171"/>
      <c r="AX66" s="171"/>
    </row>
    <row r="67" spans="1:50" s="125" customFormat="1" ht="27">
      <c r="A67" s="126"/>
      <c r="B67" s="127"/>
      <c r="C67" s="126" t="s">
        <v>63</v>
      </c>
      <c r="D67" s="126"/>
      <c r="E67" s="171"/>
      <c r="F67" s="171"/>
      <c r="G67" s="220">
        <v>11351</v>
      </c>
      <c r="H67" s="173">
        <f>G67/H$7</f>
        <v>150.6126808685672</v>
      </c>
      <c r="I67" s="198">
        <f>G67/I$7</f>
        <v>0.44527694963125686</v>
      </c>
      <c r="J67" s="321">
        <f>G67/G$17</f>
        <v>2.8600395466040859E-2</v>
      </c>
      <c r="K67" s="171"/>
      <c r="L67" s="200">
        <f t="shared" si="33"/>
        <v>0</v>
      </c>
      <c r="M67" s="519"/>
      <c r="N67" s="175">
        <f>L67/N$7</f>
        <v>0</v>
      </c>
      <c r="O67" s="202">
        <f>L67/L$17</f>
        <v>0</v>
      </c>
      <c r="P67" s="171"/>
      <c r="Q67" s="221">
        <f t="shared" si="34"/>
        <v>0</v>
      </c>
      <c r="R67" s="222">
        <v>0</v>
      </c>
      <c r="S67" s="204">
        <f>Q67/S$7</f>
        <v>0</v>
      </c>
      <c r="T67" s="323">
        <f>Q67/Q$17</f>
        <v>0</v>
      </c>
      <c r="U67" s="171"/>
      <c r="V67" s="223">
        <f>$W$7*W67</f>
        <v>0</v>
      </c>
      <c r="W67" s="179">
        <v>0</v>
      </c>
      <c r="X67" s="207">
        <f>V67/X$7</f>
        <v>0</v>
      </c>
      <c r="Y67" s="324">
        <f>V67/V$17</f>
        <v>0</v>
      </c>
      <c r="Z67" s="171"/>
      <c r="AA67" s="224">
        <f t="shared" si="35"/>
        <v>0</v>
      </c>
      <c r="AB67" s="181">
        <v>0</v>
      </c>
      <c r="AC67" s="210">
        <f>AA67/AC$7</f>
        <v>0</v>
      </c>
      <c r="AD67" s="325">
        <f>AA67/AA$17</f>
        <v>0</v>
      </c>
      <c r="AE67" s="171"/>
      <c r="AF67" s="225">
        <v>0</v>
      </c>
      <c r="AG67" s="183">
        <v>0</v>
      </c>
      <c r="AH67" s="213">
        <f>AF67/AF$17</f>
        <v>0</v>
      </c>
      <c r="AI67" s="183"/>
      <c r="AJ67" s="171"/>
      <c r="AK67" s="126"/>
      <c r="AL67" s="171"/>
      <c r="AM67" s="226">
        <f>AN$7*AN67</f>
        <v>335</v>
      </c>
      <c r="AN67" s="185">
        <v>335</v>
      </c>
      <c r="AO67" s="228">
        <f>AM67/AO$7</f>
        <v>6.979166666666667</v>
      </c>
      <c r="AP67" s="327">
        <f>AM67/AM$17</f>
        <v>4.6527777777777779E-2</v>
      </c>
      <c r="AQ67" s="171"/>
      <c r="AR67" s="171"/>
      <c r="AS67" s="217">
        <f>AT$7*AT67</f>
        <v>335</v>
      </c>
      <c r="AT67" s="187">
        <v>335</v>
      </c>
      <c r="AU67" s="218">
        <f>AS67/AU$7</f>
        <v>7.4444444444444446</v>
      </c>
      <c r="AV67" s="328">
        <f>AS67/AS$17</f>
        <v>4.7822246280856767E-2</v>
      </c>
      <c r="AW67" s="171"/>
      <c r="AX67" s="171"/>
    </row>
    <row r="68" spans="1:50" s="125" customFormat="1" ht="27">
      <c r="A68" s="126"/>
      <c r="B68" s="127"/>
      <c r="C68" s="126" t="s">
        <v>64</v>
      </c>
      <c r="D68" s="126"/>
      <c r="E68" s="171"/>
      <c r="F68" s="171"/>
      <c r="G68" s="220">
        <v>0</v>
      </c>
      <c r="H68" s="173">
        <f>G68/H$7</f>
        <v>0</v>
      </c>
      <c r="I68" s="173">
        <f>G68/I$7</f>
        <v>0</v>
      </c>
      <c r="J68" s="321">
        <f>G68/G$17</f>
        <v>0</v>
      </c>
      <c r="K68" s="171"/>
      <c r="L68" s="200">
        <f t="shared" si="33"/>
        <v>0</v>
      </c>
      <c r="M68" s="519"/>
      <c r="N68" s="175">
        <f>L68/N$7</f>
        <v>0</v>
      </c>
      <c r="O68" s="202">
        <f>L68/L$17</f>
        <v>0</v>
      </c>
      <c r="P68" s="171"/>
      <c r="Q68" s="221">
        <f t="shared" si="34"/>
        <v>0</v>
      </c>
      <c r="R68" s="222">
        <v>0</v>
      </c>
      <c r="S68" s="204">
        <f>Q68/S$7</f>
        <v>0</v>
      </c>
      <c r="T68" s="323">
        <f>Q68/Q$17</f>
        <v>0</v>
      </c>
      <c r="U68" s="171"/>
      <c r="V68" s="223">
        <f>$W$7*W68</f>
        <v>0</v>
      </c>
      <c r="W68" s="179">
        <v>0</v>
      </c>
      <c r="X68" s="207">
        <f>V68/X$7</f>
        <v>0</v>
      </c>
      <c r="Y68" s="324">
        <f>V68/V$17</f>
        <v>0</v>
      </c>
      <c r="Z68" s="171"/>
      <c r="AA68" s="224">
        <f t="shared" si="35"/>
        <v>0</v>
      </c>
      <c r="AB68" s="181">
        <v>0</v>
      </c>
      <c r="AC68" s="210">
        <f>AA68/AC$7</f>
        <v>0</v>
      </c>
      <c r="AD68" s="325">
        <f>AA68/AA$17</f>
        <v>0</v>
      </c>
      <c r="AE68" s="171"/>
      <c r="AF68" s="225">
        <v>0</v>
      </c>
      <c r="AG68" s="183">
        <v>0</v>
      </c>
      <c r="AH68" s="213">
        <f>AF68/AF$17</f>
        <v>0</v>
      </c>
      <c r="AI68" s="183"/>
      <c r="AJ68" s="171"/>
      <c r="AK68" s="126"/>
      <c r="AL68" s="171"/>
      <c r="AM68" s="226">
        <f>AN$7*AN68</f>
        <v>81</v>
      </c>
      <c r="AN68" s="185">
        <v>81</v>
      </c>
      <c r="AO68" s="228">
        <f>AM68/AO$7</f>
        <v>1.6875</v>
      </c>
      <c r="AP68" s="327">
        <f>AM68/AM$17</f>
        <v>1.125E-2</v>
      </c>
      <c r="AQ68" s="171"/>
      <c r="AR68" s="171"/>
      <c r="AS68" s="217">
        <f>AT$7*AT68</f>
        <v>81</v>
      </c>
      <c r="AT68" s="187">
        <v>81</v>
      </c>
      <c r="AU68" s="218">
        <f>AS68/AU$7</f>
        <v>1.8</v>
      </c>
      <c r="AV68" s="328">
        <f>AS68/AS$17</f>
        <v>1.1562990891789249E-2</v>
      </c>
      <c r="AW68" s="171"/>
      <c r="AX68" s="171"/>
    </row>
    <row r="69" spans="1:50" s="125" customFormat="1" ht="27">
      <c r="A69" s="126"/>
      <c r="B69" s="127"/>
      <c r="C69" s="126" t="s">
        <v>65</v>
      </c>
      <c r="D69" s="126"/>
      <c r="E69" s="171"/>
      <c r="F69" s="171"/>
      <c r="G69" s="220">
        <f>10414+22491</f>
        <v>32905</v>
      </c>
      <c r="H69" s="173">
        <f>G69/H$7</f>
        <v>436.60560866709568</v>
      </c>
      <c r="I69" s="198">
        <f>G69/I$7</f>
        <v>1.2907971128197082</v>
      </c>
      <c r="J69" s="321">
        <f>G69/G$17</f>
        <v>8.2908643538901816E-2</v>
      </c>
      <c r="K69" s="171"/>
      <c r="L69" s="200">
        <f t="shared" si="33"/>
        <v>0</v>
      </c>
      <c r="M69" s="520"/>
      <c r="N69" s="175">
        <f>L69/N$7</f>
        <v>0</v>
      </c>
      <c r="O69" s="202">
        <f>L69/L$17</f>
        <v>0</v>
      </c>
      <c r="P69" s="171"/>
      <c r="Q69" s="221">
        <f t="shared" si="34"/>
        <v>0</v>
      </c>
      <c r="R69" s="222">
        <v>0</v>
      </c>
      <c r="S69" s="204">
        <f>Q69/S$7</f>
        <v>0</v>
      </c>
      <c r="T69" s="323">
        <f>Q69/Q$17</f>
        <v>0</v>
      </c>
      <c r="U69" s="171"/>
      <c r="V69" s="223">
        <f>$W$7*W69</f>
        <v>0</v>
      </c>
      <c r="W69" s="179">
        <v>0</v>
      </c>
      <c r="X69" s="207">
        <f>V69/X$7</f>
        <v>0</v>
      </c>
      <c r="Y69" s="324">
        <f>V69/V$17</f>
        <v>0</v>
      </c>
      <c r="Z69" s="171"/>
      <c r="AA69" s="224">
        <f t="shared" si="35"/>
        <v>0</v>
      </c>
      <c r="AB69" s="181">
        <v>0</v>
      </c>
      <c r="AC69" s="210">
        <f>AA69/AC$7</f>
        <v>0</v>
      </c>
      <c r="AD69" s="325">
        <f>AA69/AA$17</f>
        <v>0</v>
      </c>
      <c r="AE69" s="171"/>
      <c r="AF69" s="225">
        <f>50981+9888</f>
        <v>60869</v>
      </c>
      <c r="AG69" s="183">
        <f>AF69/AG7</f>
        <v>65.875541125541119</v>
      </c>
      <c r="AH69" s="326">
        <f>AF69/AF$17</f>
        <v>6.6625146124579135E-2</v>
      </c>
      <c r="AI69" s="183"/>
      <c r="AJ69" s="171"/>
      <c r="AK69" s="126"/>
      <c r="AL69" s="171"/>
      <c r="AM69" s="226">
        <f>AN$7*AN69</f>
        <v>0</v>
      </c>
      <c r="AN69" s="185">
        <v>0</v>
      </c>
      <c r="AO69" s="185">
        <f>AM69/AO$7</f>
        <v>0</v>
      </c>
      <c r="AP69" s="216">
        <f>AM69/AM$17</f>
        <v>0</v>
      </c>
      <c r="AQ69" s="171"/>
      <c r="AR69" s="171"/>
      <c r="AS69" s="217">
        <f>AT$7*AT69</f>
        <v>0</v>
      </c>
      <c r="AT69" s="187">
        <v>0</v>
      </c>
      <c r="AU69" s="187">
        <f>AS69/AU$7</f>
        <v>0</v>
      </c>
      <c r="AV69" s="219">
        <f>AS69/AS$17</f>
        <v>0</v>
      </c>
      <c r="AW69" s="171"/>
      <c r="AX69" s="171"/>
    </row>
    <row r="70" spans="1:50" s="125" customFormat="1" ht="14.25" customHeight="1">
      <c r="A70" s="126"/>
      <c r="B70" s="127"/>
      <c r="C70" s="126"/>
      <c r="D70" s="126"/>
      <c r="E70" s="171"/>
      <c r="F70" s="171"/>
      <c r="G70" s="220"/>
      <c r="H70" s="173"/>
      <c r="I70" s="198"/>
      <c r="J70" s="321"/>
      <c r="K70" s="171"/>
      <c r="L70" s="329"/>
      <c r="M70" s="175"/>
      <c r="N70" s="201"/>
      <c r="O70" s="322"/>
      <c r="P70" s="171"/>
      <c r="Q70" s="221"/>
      <c r="R70" s="177"/>
      <c r="S70" s="204"/>
      <c r="T70" s="323"/>
      <c r="U70" s="171"/>
      <c r="V70" s="223"/>
      <c r="W70" s="179"/>
      <c r="X70" s="207"/>
      <c r="Y70" s="324"/>
      <c r="Z70" s="171"/>
      <c r="AA70" s="224"/>
      <c r="AB70" s="181"/>
      <c r="AC70" s="210"/>
      <c r="AD70" s="325"/>
      <c r="AE70" s="171"/>
      <c r="AF70" s="225"/>
      <c r="AG70" s="183"/>
      <c r="AH70" s="326"/>
      <c r="AI70" s="183"/>
      <c r="AJ70" s="171"/>
      <c r="AK70" s="126"/>
      <c r="AL70" s="171"/>
      <c r="AM70" s="226"/>
      <c r="AN70" s="185"/>
      <c r="AO70" s="228"/>
      <c r="AP70" s="327"/>
      <c r="AQ70" s="171"/>
      <c r="AR70" s="171"/>
      <c r="AS70" s="330"/>
      <c r="AT70" s="187"/>
      <c r="AU70" s="218"/>
      <c r="AV70" s="328"/>
      <c r="AW70" s="154"/>
      <c r="AX70" s="154"/>
    </row>
    <row r="71" spans="1:50" s="125" customFormat="1" ht="27">
      <c r="A71" s="126"/>
      <c r="B71" s="127"/>
      <c r="C71" s="273" t="s">
        <v>66</v>
      </c>
      <c r="D71" s="154"/>
      <c r="E71" s="154"/>
      <c r="F71" s="154"/>
      <c r="G71" s="331">
        <f>SUM(G64:G70)</f>
        <v>44256</v>
      </c>
      <c r="H71" s="332">
        <f>SUM(H65:H70)</f>
        <v>587.21828953566285</v>
      </c>
      <c r="I71" s="333">
        <f>SUM(I65:I70)</f>
        <v>1.7360740624509652</v>
      </c>
      <c r="J71" s="334">
        <f>G71/G$17</f>
        <v>0.11150903900494268</v>
      </c>
      <c r="K71" s="154"/>
      <c r="L71" s="335">
        <f>SUM(L64:L70)</f>
        <v>5547.71</v>
      </c>
      <c r="M71" s="336">
        <f>SUM(M65:M70)</f>
        <v>135.31</v>
      </c>
      <c r="N71" s="337">
        <f>SUM(N65:N70)</f>
        <v>9.6649999999999991</v>
      </c>
      <c r="O71" s="338">
        <f>L71/L$17</f>
        <v>1.9480220327612072E-2</v>
      </c>
      <c r="P71" s="154"/>
      <c r="Q71" s="339">
        <f>SUM(Q64:Q70)</f>
        <v>0</v>
      </c>
      <c r="R71" s="340">
        <f>SUM(R65:R70)</f>
        <v>0</v>
      </c>
      <c r="S71" s="341">
        <f>SUM(S65:S70)</f>
        <v>0</v>
      </c>
      <c r="T71" s="342">
        <f>Q71/Q$17</f>
        <v>0</v>
      </c>
      <c r="U71" s="154"/>
      <c r="V71" s="343">
        <f>SUM(V64:V70)</f>
        <v>0</v>
      </c>
      <c r="W71" s="344">
        <f>SUM(W65:W70)</f>
        <v>0</v>
      </c>
      <c r="X71" s="345">
        <f>SUM(X65:X70)</f>
        <v>0</v>
      </c>
      <c r="Y71" s="346">
        <f>V71/V$17</f>
        <v>0</v>
      </c>
      <c r="Z71" s="154"/>
      <c r="AA71" s="347">
        <f>SUM(AA64:AA70)</f>
        <v>0</v>
      </c>
      <c r="AB71" s="348">
        <f>SUM(AB65:AB70)</f>
        <v>0</v>
      </c>
      <c r="AC71" s="349">
        <f>SUM(AC65:AC70)</f>
        <v>0</v>
      </c>
      <c r="AD71" s="350">
        <f>AA71/AA$17</f>
        <v>0</v>
      </c>
      <c r="AE71" s="154"/>
      <c r="AF71" s="351">
        <f>SUM(AF64:AF70)</f>
        <v>60869</v>
      </c>
      <c r="AG71" s="352">
        <f>SUM(AG65:AG70)</f>
        <v>65.875541125541119</v>
      </c>
      <c r="AH71" s="353">
        <f>AF71/AF$17</f>
        <v>6.6625146124579135E-2</v>
      </c>
      <c r="AI71" s="166"/>
      <c r="AJ71" s="154"/>
      <c r="AK71" s="154"/>
      <c r="AL71" s="154"/>
      <c r="AM71" s="354">
        <f>SUM(AM64:AM70)</f>
        <v>666</v>
      </c>
      <c r="AN71" s="355">
        <f>SUM(AN65:AN70)</f>
        <v>666</v>
      </c>
      <c r="AO71" s="356">
        <f>SUM(AO65:AO70)</f>
        <v>13.875</v>
      </c>
      <c r="AP71" s="357">
        <f>AM71/AM$17</f>
        <v>9.2499999999999999E-2</v>
      </c>
      <c r="AQ71" s="154"/>
      <c r="AR71" s="154"/>
      <c r="AS71" s="358">
        <f>SUM(AS64:AS70)</f>
        <v>666</v>
      </c>
      <c r="AT71" s="359">
        <f>SUM(AT65:AT70)</f>
        <v>666</v>
      </c>
      <c r="AU71" s="360">
        <f>SUM(AU65:AU70)</f>
        <v>14.8</v>
      </c>
      <c r="AV71" s="361">
        <f>AS71/AS$17</f>
        <v>9.5073480665822704E-2</v>
      </c>
      <c r="AW71" s="362"/>
      <c r="AX71" s="362"/>
    </row>
    <row r="72" spans="1:50" s="125" customFormat="1" ht="27">
      <c r="A72" s="126"/>
      <c r="B72" s="127"/>
      <c r="C72" s="238"/>
      <c r="D72" s="128"/>
      <c r="E72" s="239"/>
      <c r="F72" s="239"/>
      <c r="G72" s="461"/>
      <c r="H72" s="275"/>
      <c r="I72" s="276"/>
      <c r="J72" s="462"/>
      <c r="K72" s="239"/>
      <c r="L72" s="463"/>
      <c r="M72" s="279"/>
      <c r="N72" s="280"/>
      <c r="O72" s="464"/>
      <c r="P72" s="239"/>
      <c r="Q72" s="465"/>
      <c r="R72" s="283"/>
      <c r="S72" s="284"/>
      <c r="T72" s="466"/>
      <c r="U72" s="239"/>
      <c r="V72" s="467"/>
      <c r="W72" s="287"/>
      <c r="X72" s="288"/>
      <c r="Y72" s="468"/>
      <c r="Z72" s="239"/>
      <c r="AA72" s="469"/>
      <c r="AB72" s="291"/>
      <c r="AC72" s="292"/>
      <c r="AD72" s="470"/>
      <c r="AE72" s="239"/>
      <c r="AF72" s="471"/>
      <c r="AG72" s="263"/>
      <c r="AH72" s="472"/>
      <c r="AI72" s="263"/>
      <c r="AJ72" s="239"/>
      <c r="AK72" s="128"/>
      <c r="AL72" s="239"/>
      <c r="AM72" s="473"/>
      <c r="AN72" s="297"/>
      <c r="AO72" s="298"/>
      <c r="AP72" s="474"/>
      <c r="AQ72" s="239"/>
      <c r="AR72" s="239"/>
      <c r="AS72" s="475"/>
      <c r="AT72" s="301"/>
      <c r="AU72" s="302"/>
      <c r="AV72" s="476"/>
      <c r="AW72" s="239"/>
      <c r="AX72" s="239"/>
    </row>
    <row r="73" spans="1:50" s="125" customFormat="1" ht="27">
      <c r="A73" s="126"/>
      <c r="B73" s="127"/>
      <c r="C73" s="188" t="s">
        <v>33</v>
      </c>
      <c r="D73" s="126"/>
      <c r="E73" s="171"/>
      <c r="F73" s="171"/>
      <c r="G73" s="220"/>
      <c r="H73" s="173"/>
      <c r="I73" s="198"/>
      <c r="J73" s="321"/>
      <c r="K73" s="171"/>
      <c r="L73" s="329"/>
      <c r="M73" s="175"/>
      <c r="N73" s="201"/>
      <c r="O73" s="322"/>
      <c r="P73" s="171"/>
      <c r="Q73" s="221"/>
      <c r="R73" s="177"/>
      <c r="S73" s="204"/>
      <c r="T73" s="323"/>
      <c r="U73" s="171"/>
      <c r="V73" s="223"/>
      <c r="W73" s="179"/>
      <c r="X73" s="207"/>
      <c r="Y73" s="324"/>
      <c r="Z73" s="171"/>
      <c r="AA73" s="224"/>
      <c r="AB73" s="181"/>
      <c r="AC73" s="210"/>
      <c r="AD73" s="325"/>
      <c r="AE73" s="171"/>
      <c r="AF73" s="225"/>
      <c r="AG73" s="183"/>
      <c r="AH73" s="326"/>
      <c r="AI73" s="183"/>
      <c r="AJ73" s="171"/>
      <c r="AK73" s="126"/>
      <c r="AL73" s="171"/>
      <c r="AM73" s="226"/>
      <c r="AN73" s="185"/>
      <c r="AO73" s="228"/>
      <c r="AP73" s="327"/>
      <c r="AQ73" s="171"/>
      <c r="AR73" s="171"/>
      <c r="AS73" s="330"/>
      <c r="AT73" s="187"/>
      <c r="AU73" s="218"/>
      <c r="AV73" s="328"/>
      <c r="AW73" s="171"/>
      <c r="AX73" s="171"/>
    </row>
    <row r="74" spans="1:50" s="125" customFormat="1" ht="14.25" customHeight="1">
      <c r="A74" s="126"/>
      <c r="B74" s="127"/>
      <c r="C74" s="126"/>
      <c r="D74" s="126"/>
      <c r="E74" s="171"/>
      <c r="F74" s="171"/>
      <c r="G74" s="220"/>
      <c r="H74" s="173"/>
      <c r="I74" s="198"/>
      <c r="J74" s="321"/>
      <c r="K74" s="171"/>
      <c r="L74" s="329"/>
      <c r="M74" s="175"/>
      <c r="N74" s="201"/>
      <c r="O74" s="322"/>
      <c r="P74" s="171"/>
      <c r="Q74" s="221"/>
      <c r="R74" s="177"/>
      <c r="S74" s="204"/>
      <c r="T74" s="323"/>
      <c r="U74" s="171"/>
      <c r="V74" s="223"/>
      <c r="W74" s="179"/>
      <c r="X74" s="207"/>
      <c r="Y74" s="324"/>
      <c r="Z74" s="171"/>
      <c r="AA74" s="224"/>
      <c r="AB74" s="181"/>
      <c r="AC74" s="210"/>
      <c r="AD74" s="325"/>
      <c r="AE74" s="171"/>
      <c r="AF74" s="225"/>
      <c r="AG74" s="183"/>
      <c r="AH74" s="326"/>
      <c r="AI74" s="183"/>
      <c r="AJ74" s="171"/>
      <c r="AK74" s="126"/>
      <c r="AL74" s="171"/>
      <c r="AM74" s="226"/>
      <c r="AN74" s="185"/>
      <c r="AO74" s="228"/>
      <c r="AP74" s="327"/>
      <c r="AQ74" s="171"/>
      <c r="AR74" s="171"/>
      <c r="AS74" s="330"/>
      <c r="AT74" s="187"/>
      <c r="AU74" s="218"/>
      <c r="AV74" s="328"/>
      <c r="AW74" s="171"/>
      <c r="AX74" s="171"/>
    </row>
    <row r="75" spans="1:50" s="125" customFormat="1" ht="27">
      <c r="A75" s="126"/>
      <c r="B75" s="127"/>
      <c r="C75" s="126" t="s">
        <v>67</v>
      </c>
      <c r="D75" s="126"/>
      <c r="E75" s="171"/>
      <c r="F75" s="171"/>
      <c r="G75" s="220">
        <v>24232</v>
      </c>
      <c r="H75" s="173">
        <f>G75/H$7</f>
        <v>321.52642787482336</v>
      </c>
      <c r="I75" s="198">
        <f>G75/I$7</f>
        <v>0.95057272869919973</v>
      </c>
      <c r="J75" s="321">
        <f>G75/G$17</f>
        <v>6.105583498661811E-2</v>
      </c>
      <c r="K75" s="171"/>
      <c r="L75" s="200">
        <f t="shared" ref="L75" si="36">$M$7*M75</f>
        <v>0</v>
      </c>
      <c r="M75" s="175">
        <v>0</v>
      </c>
      <c r="N75" s="201">
        <f>L75/N$7</f>
        <v>0</v>
      </c>
      <c r="O75" s="322">
        <f>L75/L$17</f>
        <v>0</v>
      </c>
      <c r="P75" s="171"/>
      <c r="Q75" s="221">
        <v>0</v>
      </c>
      <c r="R75" s="177">
        <f>Q75/R$7</f>
        <v>0</v>
      </c>
      <c r="S75" s="204">
        <f>Q75/S$7</f>
        <v>0</v>
      </c>
      <c r="T75" s="323">
        <f>Q75/Q$17</f>
        <v>0</v>
      </c>
      <c r="U75" s="171"/>
      <c r="V75" s="223">
        <f>$W$7*W75</f>
        <v>0</v>
      </c>
      <c r="W75" s="179">
        <v>0</v>
      </c>
      <c r="X75" s="207">
        <f>V75/X$7</f>
        <v>0</v>
      </c>
      <c r="Y75" s="324">
        <f>V75/V$17</f>
        <v>0</v>
      </c>
      <c r="Z75" s="171"/>
      <c r="AA75" s="224">
        <f>$AB$7*AB75</f>
        <v>0</v>
      </c>
      <c r="AB75" s="181">
        <v>0</v>
      </c>
      <c r="AC75" s="210">
        <f>AA75/AC$7</f>
        <v>0</v>
      </c>
      <c r="AD75" s="325">
        <f>AA75/AA$17</f>
        <v>0</v>
      </c>
      <c r="AE75" s="171"/>
      <c r="AF75" s="225">
        <f>72171</f>
        <v>72171</v>
      </c>
      <c r="AG75" s="183">
        <f>AF75/AG7</f>
        <v>78.107142857142861</v>
      </c>
      <c r="AH75" s="326">
        <f>AF75/AF$17</f>
        <v>7.8995932592239082E-2</v>
      </c>
      <c r="AI75" s="183"/>
      <c r="AJ75" s="171"/>
      <c r="AK75" s="126"/>
      <c r="AL75" s="171"/>
      <c r="AM75" s="226">
        <f>AN$7*AN75</f>
        <v>0</v>
      </c>
      <c r="AN75" s="185">
        <v>0</v>
      </c>
      <c r="AO75" s="228">
        <f>AM75/AO$7</f>
        <v>0</v>
      </c>
      <c r="AP75" s="327">
        <f>AM75/AM$17</f>
        <v>0</v>
      </c>
      <c r="AQ75" s="171"/>
      <c r="AR75" s="171"/>
      <c r="AS75" s="217">
        <f>AT$7*AT75</f>
        <v>0</v>
      </c>
      <c r="AT75" s="187">
        <v>0</v>
      </c>
      <c r="AU75" s="218">
        <f>AS75/AU$7</f>
        <v>0</v>
      </c>
      <c r="AV75" s="328">
        <f>AS75/AS$17</f>
        <v>0</v>
      </c>
      <c r="AW75" s="171"/>
      <c r="AX75" s="171"/>
    </row>
    <row r="76" spans="1:50" s="125" customFormat="1" ht="14.25" customHeight="1">
      <c r="A76" s="126"/>
      <c r="B76" s="127"/>
      <c r="C76" s="126"/>
      <c r="D76" s="126"/>
      <c r="E76" s="171"/>
      <c r="F76" s="171"/>
      <c r="G76" s="220"/>
      <c r="H76" s="173"/>
      <c r="I76" s="198"/>
      <c r="J76" s="321"/>
      <c r="K76" s="171"/>
      <c r="L76" s="329"/>
      <c r="M76" s="175"/>
      <c r="N76" s="201"/>
      <c r="O76" s="322"/>
      <c r="P76" s="171"/>
      <c r="Q76" s="221"/>
      <c r="R76" s="177"/>
      <c r="S76" s="204"/>
      <c r="T76" s="323"/>
      <c r="U76" s="171"/>
      <c r="V76" s="223"/>
      <c r="W76" s="179"/>
      <c r="X76" s="207"/>
      <c r="Y76" s="324"/>
      <c r="Z76" s="171"/>
      <c r="AA76" s="224"/>
      <c r="AB76" s="181"/>
      <c r="AC76" s="210"/>
      <c r="AD76" s="325"/>
      <c r="AE76" s="171"/>
      <c r="AF76" s="225"/>
      <c r="AG76" s="183"/>
      <c r="AH76" s="326"/>
      <c r="AI76" s="183"/>
      <c r="AJ76" s="171"/>
      <c r="AK76" s="126"/>
      <c r="AL76" s="171"/>
      <c r="AM76" s="226"/>
      <c r="AN76" s="185"/>
      <c r="AO76" s="228"/>
      <c r="AP76" s="327"/>
      <c r="AQ76" s="171"/>
      <c r="AR76" s="171"/>
      <c r="AS76" s="330"/>
      <c r="AT76" s="187"/>
      <c r="AU76" s="218"/>
      <c r="AV76" s="328"/>
      <c r="AW76" s="154"/>
      <c r="AX76" s="154"/>
    </row>
    <row r="77" spans="1:50" s="125" customFormat="1" ht="27">
      <c r="A77" s="126"/>
      <c r="B77" s="127"/>
      <c r="C77" s="273" t="s">
        <v>68</v>
      </c>
      <c r="D77" s="154"/>
      <c r="E77" s="154"/>
      <c r="F77" s="154"/>
      <c r="G77" s="331">
        <f>SUM(G74:G76)</f>
        <v>24232</v>
      </c>
      <c r="H77" s="332">
        <f>SUM(H75:H76)</f>
        <v>321.52642787482336</v>
      </c>
      <c r="I77" s="333">
        <f>SUM(I75:I76)</f>
        <v>0.95057272869919973</v>
      </c>
      <c r="J77" s="334">
        <f>G77/G$17</f>
        <v>6.105583498661811E-2</v>
      </c>
      <c r="K77" s="154"/>
      <c r="L77" s="335">
        <f>SUM(L74:L76)</f>
        <v>0</v>
      </c>
      <c r="M77" s="336">
        <f>SUM(M75:M76)</f>
        <v>0</v>
      </c>
      <c r="N77" s="337">
        <f>SUM(N75:N76)</f>
        <v>0</v>
      </c>
      <c r="O77" s="338">
        <f>L77/L$17</f>
        <v>0</v>
      </c>
      <c r="P77" s="154"/>
      <c r="Q77" s="339">
        <f>SUM(Q74:Q76)</f>
        <v>0</v>
      </c>
      <c r="R77" s="340">
        <f>SUM(R75:R76)</f>
        <v>0</v>
      </c>
      <c r="S77" s="341">
        <f>SUM(S75:S76)</f>
        <v>0</v>
      </c>
      <c r="T77" s="342">
        <f>Q77/Q$17</f>
        <v>0</v>
      </c>
      <c r="U77" s="154"/>
      <c r="V77" s="343">
        <f>SUM(V74:V76)</f>
        <v>0</v>
      </c>
      <c r="W77" s="344">
        <f>SUM(W75:W76)</f>
        <v>0</v>
      </c>
      <c r="X77" s="345">
        <f>SUM(X75:X76)</f>
        <v>0</v>
      </c>
      <c r="Y77" s="346">
        <f>V77/V$17</f>
        <v>0</v>
      </c>
      <c r="Z77" s="154"/>
      <c r="AA77" s="347">
        <f>SUM(AA74:AA76)</f>
        <v>0</v>
      </c>
      <c r="AB77" s="348">
        <f>SUM(AB75:AB76)</f>
        <v>0</v>
      </c>
      <c r="AC77" s="349">
        <f>SUM(AC75:AC76)</f>
        <v>0</v>
      </c>
      <c r="AD77" s="350">
        <f>AA77/AA$17</f>
        <v>0</v>
      </c>
      <c r="AE77" s="154"/>
      <c r="AF77" s="351">
        <f>SUM(AF74:AF76)</f>
        <v>72171</v>
      </c>
      <c r="AG77" s="352">
        <f>SUM(AG75:AG76)</f>
        <v>78.107142857142861</v>
      </c>
      <c r="AH77" s="353">
        <f>AF77/AF$17</f>
        <v>7.8995932592239082E-2</v>
      </c>
      <c r="AI77" s="166"/>
      <c r="AJ77" s="154"/>
      <c r="AK77" s="154"/>
      <c r="AL77" s="154"/>
      <c r="AM77" s="354">
        <f>SUM(AM74:AM76)</f>
        <v>0</v>
      </c>
      <c r="AN77" s="355">
        <f>SUM(AN75:AN76)</f>
        <v>0</v>
      </c>
      <c r="AO77" s="356">
        <f>SUM(AO75:AO76)</f>
        <v>0</v>
      </c>
      <c r="AP77" s="357">
        <f>AM77/AM$17</f>
        <v>0</v>
      </c>
      <c r="AQ77" s="154"/>
      <c r="AR77" s="154"/>
      <c r="AS77" s="358">
        <f>SUM(AS74:AS76)</f>
        <v>0</v>
      </c>
      <c r="AT77" s="359">
        <f>SUM(AT75:AT76)</f>
        <v>0</v>
      </c>
      <c r="AU77" s="360">
        <f>SUM(AU75:AU76)</f>
        <v>0</v>
      </c>
      <c r="AV77" s="361">
        <f>AS77/AS$17</f>
        <v>0</v>
      </c>
      <c r="AW77" s="362"/>
      <c r="AX77" s="362"/>
    </row>
    <row r="78" spans="1:50" s="125" customFormat="1" ht="27.75" thickBot="1">
      <c r="A78" s="126"/>
      <c r="B78" s="127"/>
      <c r="C78" s="126"/>
      <c r="D78" s="126"/>
      <c r="E78" s="171"/>
      <c r="F78" s="171"/>
      <c r="G78" s="304"/>
      <c r="H78" s="173"/>
      <c r="I78" s="198"/>
      <c r="J78" s="391"/>
      <c r="K78" s="171"/>
      <c r="L78" s="306"/>
      <c r="M78" s="175"/>
      <c r="N78" s="201"/>
      <c r="O78" s="392"/>
      <c r="P78" s="171"/>
      <c r="Q78" s="308"/>
      <c r="R78" s="177"/>
      <c r="S78" s="204"/>
      <c r="T78" s="393"/>
      <c r="U78" s="171"/>
      <c r="V78" s="310"/>
      <c r="W78" s="179"/>
      <c r="X78" s="207"/>
      <c r="Y78" s="394"/>
      <c r="Z78" s="171"/>
      <c r="AA78" s="312"/>
      <c r="AB78" s="181"/>
      <c r="AC78" s="210"/>
      <c r="AD78" s="395"/>
      <c r="AE78" s="171"/>
      <c r="AF78" s="314"/>
      <c r="AG78" s="183"/>
      <c r="AH78" s="396"/>
      <c r="AI78" s="183"/>
      <c r="AJ78" s="171"/>
      <c r="AK78" s="126"/>
      <c r="AL78" s="171"/>
      <c r="AM78" s="316"/>
      <c r="AN78" s="185"/>
      <c r="AO78" s="228"/>
      <c r="AP78" s="397"/>
      <c r="AQ78" s="171"/>
      <c r="AR78" s="171"/>
      <c r="AS78" s="318"/>
      <c r="AT78" s="187"/>
      <c r="AU78" s="218"/>
      <c r="AV78" s="398"/>
      <c r="AW78" s="171"/>
      <c r="AX78" s="171"/>
    </row>
    <row r="79" spans="1:50" s="125" customFormat="1" ht="27.75" thickTop="1">
      <c r="A79" s="477"/>
      <c r="B79" s="478"/>
      <c r="C79" s="479" t="s">
        <v>69</v>
      </c>
      <c r="D79" s="477"/>
      <c r="E79" s="480"/>
      <c r="F79" s="480"/>
      <c r="G79" s="481">
        <f>G61-G71+G77</f>
        <v>81698.624000000011</v>
      </c>
      <c r="H79" s="482">
        <f>H61-H71+H77</f>
        <v>1084.0321367203828</v>
      </c>
      <c r="I79" s="483">
        <f>I61-I71+I77</f>
        <v>3.2048730582143441</v>
      </c>
      <c r="J79" s="484">
        <f>G79/G$17</f>
        <v>0.20585084621895669</v>
      </c>
      <c r="K79" s="480"/>
      <c r="L79" s="481">
        <f>L61-L71+L77</f>
        <v>65044.04</v>
      </c>
      <c r="M79" s="482">
        <f>M61-M71+M77</f>
        <v>1586.440000000001</v>
      </c>
      <c r="N79" s="483">
        <f>N61-N71+N77</f>
        <v>113.31714285714278</v>
      </c>
      <c r="O79" s="484">
        <f>L79/L$17</f>
        <v>0.22839554161951736</v>
      </c>
      <c r="P79" s="480"/>
      <c r="Q79" s="481">
        <f>Q61-Q71+Q77</f>
        <v>643.27</v>
      </c>
      <c r="R79" s="482">
        <f>R61-R71+R77</f>
        <v>643.27</v>
      </c>
      <c r="S79" s="483">
        <f>S61-S71+S77</f>
        <v>320.03482587064673</v>
      </c>
      <c r="T79" s="484">
        <f>Q79/Q$17</f>
        <v>0.52253767109378169</v>
      </c>
      <c r="U79" s="480"/>
      <c r="V79" s="481">
        <f>V61-V71+V77</f>
        <v>699.64240000000007</v>
      </c>
      <c r="W79" s="482">
        <f>W61-W71+W77</f>
        <v>699.64240000000007</v>
      </c>
      <c r="X79" s="483">
        <f>X61-X71+X77</f>
        <v>171.90230958230961</v>
      </c>
      <c r="Y79" s="484">
        <f>V79/V$17</f>
        <v>0.4924449890072331</v>
      </c>
      <c r="Z79" s="480"/>
      <c r="AA79" s="481">
        <f>AA61-AA71+AA77</f>
        <v>682.65499999999997</v>
      </c>
      <c r="AB79" s="482">
        <f>AB61-AB71+AB77</f>
        <v>682.65499999999997</v>
      </c>
      <c r="AC79" s="483">
        <f>AC61-AC71+AC77</f>
        <v>92.626187245590231</v>
      </c>
      <c r="AD79" s="484">
        <f>AA79/AA$17</f>
        <v>0.60596686357967422</v>
      </c>
      <c r="AE79" s="480"/>
      <c r="AF79" s="481">
        <f>AF61-AF71+AF77</f>
        <v>441101</v>
      </c>
      <c r="AG79" s="482">
        <f>AG61-AG71+AG77</f>
        <v>477.38203463203456</v>
      </c>
      <c r="AH79" s="484">
        <f>AF79/AF$17</f>
        <v>0.48281421710062566</v>
      </c>
      <c r="AI79" s="480"/>
      <c r="AJ79" s="480"/>
      <c r="AK79" s="477"/>
      <c r="AL79" s="480"/>
      <c r="AM79" s="481">
        <f>AM61-AM71+AM77</f>
        <v>1882</v>
      </c>
      <c r="AN79" s="482">
        <f>AN61-AN71+AN77</f>
        <v>1882</v>
      </c>
      <c r="AO79" s="483">
        <f>AO61-AO71+AO77</f>
        <v>39.208333333333343</v>
      </c>
      <c r="AP79" s="484">
        <f>AM79/AM$17</f>
        <v>0.26138888888888889</v>
      </c>
      <c r="AQ79" s="480"/>
      <c r="AR79" s="480"/>
      <c r="AS79" s="481">
        <f>AS61-AS71+AS77</f>
        <v>1163.1080000000002</v>
      </c>
      <c r="AT79" s="482">
        <f>AT61-AT71+AT77</f>
        <v>1163.1080000000002</v>
      </c>
      <c r="AU79" s="483">
        <f>AU61-AU71+AU77</f>
        <v>25.846844444444454</v>
      </c>
      <c r="AV79" s="484">
        <f>AS79/AS$17</f>
        <v>0.16603712605144705</v>
      </c>
      <c r="AW79" s="480"/>
      <c r="AX79" s="480"/>
    </row>
    <row r="80" spans="1:50" ht="20.25">
      <c r="A80" s="41"/>
      <c r="B80" s="62"/>
      <c r="C80" s="65"/>
      <c r="D80" s="64"/>
      <c r="E80" s="66"/>
      <c r="F80" s="66"/>
      <c r="G80" s="75"/>
      <c r="H80" s="68"/>
      <c r="I80" s="68"/>
      <c r="J80" s="83"/>
      <c r="K80" s="66"/>
      <c r="L80" s="76"/>
      <c r="M80" s="69"/>
      <c r="N80" s="69"/>
      <c r="O80" s="84"/>
      <c r="P80" s="66"/>
      <c r="Q80" s="77"/>
      <c r="R80" s="70"/>
      <c r="S80" s="70"/>
      <c r="T80" s="85"/>
      <c r="U80" s="66"/>
      <c r="V80" s="78"/>
      <c r="W80" s="71"/>
      <c r="X80" s="71"/>
      <c r="Y80" s="86"/>
      <c r="Z80" s="66"/>
      <c r="AA80" s="79"/>
      <c r="AB80" s="72"/>
      <c r="AC80" s="72"/>
      <c r="AD80" s="87"/>
      <c r="AE80" s="66"/>
      <c r="AF80" s="80"/>
      <c r="AG80" s="67"/>
      <c r="AH80" s="88"/>
      <c r="AI80" s="67"/>
      <c r="AJ80" s="66"/>
      <c r="AK80" s="64"/>
      <c r="AL80" s="66"/>
      <c r="AM80" s="81"/>
      <c r="AN80" s="73"/>
      <c r="AO80" s="73"/>
      <c r="AP80" s="89"/>
      <c r="AQ80" s="66"/>
      <c r="AR80" s="66"/>
      <c r="AS80" s="82"/>
      <c r="AT80" s="74"/>
      <c r="AU80" s="74"/>
      <c r="AV80" s="90"/>
      <c r="AW80" s="66"/>
      <c r="AX80" s="7"/>
    </row>
    <row r="81" spans="1:50" ht="5.25" customHeight="1">
      <c r="A81" s="3"/>
      <c r="B81" s="10"/>
      <c r="C81" s="11"/>
      <c r="D81" s="11"/>
      <c r="E81" s="12"/>
      <c r="F81" s="12"/>
      <c r="G81" s="13"/>
      <c r="H81" s="14"/>
      <c r="I81" s="14"/>
      <c r="J81" s="15"/>
      <c r="K81" s="12"/>
      <c r="L81" s="16"/>
      <c r="M81" s="17"/>
      <c r="N81" s="17"/>
      <c r="O81" s="18"/>
      <c r="P81" s="12"/>
      <c r="Q81" s="19"/>
      <c r="R81" s="20"/>
      <c r="S81" s="20"/>
      <c r="T81" s="21"/>
      <c r="U81" s="12"/>
      <c r="V81" s="22"/>
      <c r="W81" s="23"/>
      <c r="X81" s="23"/>
      <c r="Y81" s="24"/>
      <c r="Z81" s="12"/>
      <c r="AA81" s="25"/>
      <c r="AB81" s="26"/>
      <c r="AC81" s="26"/>
      <c r="AD81" s="27"/>
      <c r="AE81" s="12"/>
      <c r="AF81" s="28"/>
      <c r="AG81" s="29"/>
      <c r="AH81" s="30"/>
      <c r="AI81" s="29"/>
      <c r="AJ81" s="12"/>
      <c r="AK81" s="11"/>
      <c r="AL81" s="12"/>
      <c r="AM81" s="31"/>
      <c r="AN81" s="32"/>
      <c r="AO81" s="32"/>
      <c r="AP81" s="33"/>
      <c r="AQ81" s="12"/>
      <c r="AR81" s="12"/>
      <c r="AS81" s="31"/>
      <c r="AT81" s="32"/>
      <c r="AU81" s="32"/>
      <c r="AV81" s="33"/>
      <c r="AW81" s="12"/>
      <c r="AX81" s="12"/>
    </row>
    <row r="82" spans="1:50">
      <c r="A82" s="3"/>
      <c r="B82" s="3"/>
      <c r="C82" s="3"/>
      <c r="D82" s="3"/>
      <c r="E82" s="9"/>
      <c r="F82" s="9"/>
      <c r="G82" s="34"/>
      <c r="H82" s="9"/>
      <c r="I82" s="9"/>
      <c r="J82" s="35"/>
      <c r="K82" s="9"/>
      <c r="L82" s="34"/>
      <c r="M82" s="9"/>
      <c r="N82" s="9"/>
      <c r="O82" s="35"/>
      <c r="P82" s="9"/>
      <c r="Q82" s="34"/>
      <c r="R82" s="9"/>
      <c r="S82" s="9"/>
      <c r="T82" s="35"/>
      <c r="U82" s="9"/>
      <c r="V82" s="34"/>
      <c r="W82" s="9"/>
      <c r="X82" s="9"/>
      <c r="Y82" s="35"/>
      <c r="Z82" s="9"/>
      <c r="AA82" s="34"/>
      <c r="AB82" s="9"/>
      <c r="AC82" s="9"/>
      <c r="AD82" s="35"/>
      <c r="AE82" s="9"/>
      <c r="AF82" s="34"/>
      <c r="AG82" s="9"/>
      <c r="AH82" s="35"/>
      <c r="AI82" s="9"/>
      <c r="AJ82" s="9"/>
      <c r="AK82" s="3"/>
      <c r="AL82" s="9"/>
      <c r="AM82" s="34"/>
      <c r="AN82" s="9"/>
      <c r="AO82" s="9"/>
      <c r="AP82" s="35"/>
      <c r="AQ82" s="9"/>
      <c r="AR82" s="9"/>
      <c r="AS82" s="34"/>
      <c r="AT82" s="9"/>
      <c r="AU82" s="9"/>
      <c r="AV82" s="35"/>
    </row>
    <row r="83" spans="1:50" s="36" customFormat="1">
      <c r="E83" s="37"/>
      <c r="F83" s="37"/>
      <c r="H83" s="37"/>
      <c r="I83" s="37"/>
      <c r="J83" s="37"/>
      <c r="K83" s="37"/>
      <c r="M83" s="37"/>
      <c r="N83" s="37"/>
      <c r="O83" s="37"/>
      <c r="P83" s="37"/>
      <c r="R83" s="37"/>
      <c r="S83" s="37"/>
      <c r="T83" s="37"/>
      <c r="U83" s="37"/>
      <c r="W83" s="37"/>
      <c r="X83" s="37"/>
      <c r="Y83" s="37"/>
      <c r="Z83" s="37"/>
      <c r="AB83" s="37"/>
      <c r="AC83" s="37"/>
      <c r="AD83" s="37"/>
      <c r="AE83" s="37"/>
      <c r="AG83" s="37"/>
      <c r="AH83" s="37"/>
      <c r="AI83" s="37"/>
      <c r="AJ83" s="37"/>
      <c r="AL83" s="37"/>
      <c r="AN83" s="37"/>
      <c r="AO83" s="37"/>
      <c r="AP83" s="37"/>
      <c r="AQ83" s="37"/>
      <c r="AR83" s="37"/>
      <c r="AT83" s="37"/>
      <c r="AU83" s="37"/>
      <c r="AV83" s="37"/>
      <c r="AW83" s="37"/>
      <c r="AX83" s="37"/>
    </row>
    <row r="84" spans="1:50" s="36" customFormat="1">
      <c r="E84" s="37"/>
      <c r="F84" s="37"/>
      <c r="H84" s="37"/>
      <c r="I84" s="37"/>
      <c r="J84" s="37"/>
      <c r="K84" s="37"/>
      <c r="M84" s="37"/>
      <c r="N84" s="37"/>
      <c r="O84" s="37"/>
      <c r="P84" s="37"/>
      <c r="R84" s="37"/>
      <c r="S84" s="37"/>
      <c r="T84" s="37"/>
      <c r="U84" s="37"/>
      <c r="W84" s="37"/>
      <c r="X84" s="37"/>
      <c r="Y84" s="37"/>
      <c r="Z84" s="37"/>
      <c r="AB84" s="37"/>
      <c r="AC84" s="37"/>
      <c r="AD84" s="37"/>
      <c r="AE84" s="37"/>
      <c r="AG84" s="37"/>
      <c r="AH84" s="37"/>
      <c r="AI84" s="37"/>
      <c r="AJ84" s="37"/>
      <c r="AL84" s="37"/>
      <c r="AN84" s="37"/>
      <c r="AO84" s="37"/>
      <c r="AP84" s="37"/>
      <c r="AQ84" s="37"/>
      <c r="AR84" s="37"/>
      <c r="AT84" s="37"/>
      <c r="AU84" s="37"/>
      <c r="AV84" s="37"/>
      <c r="AW84" s="37"/>
      <c r="AX84" s="37"/>
    </row>
    <row r="85" spans="1:50" s="36" customFormat="1">
      <c r="E85" s="37"/>
      <c r="F85" s="37"/>
      <c r="H85" s="37"/>
      <c r="I85" s="37"/>
      <c r="J85" s="37"/>
      <c r="K85" s="37"/>
      <c r="M85" s="37"/>
      <c r="N85" s="37"/>
      <c r="O85" s="37"/>
      <c r="P85" s="37"/>
      <c r="R85" s="37"/>
      <c r="S85" s="37"/>
      <c r="T85" s="37"/>
      <c r="U85" s="37"/>
      <c r="W85" s="37"/>
      <c r="X85" s="37"/>
      <c r="Y85" s="37"/>
      <c r="Z85" s="37"/>
      <c r="AB85" s="37"/>
      <c r="AC85" s="37"/>
      <c r="AD85" s="37"/>
      <c r="AE85" s="37"/>
      <c r="AG85" s="37"/>
      <c r="AH85" s="37"/>
      <c r="AI85" s="37"/>
      <c r="AJ85" s="37"/>
      <c r="AL85" s="37"/>
      <c r="AN85" s="37"/>
      <c r="AO85" s="37"/>
      <c r="AP85" s="37"/>
      <c r="AQ85" s="37"/>
      <c r="AR85" s="37"/>
      <c r="AT85" s="37"/>
      <c r="AU85" s="37"/>
      <c r="AV85" s="37"/>
      <c r="AW85" s="37"/>
      <c r="AX85" s="37"/>
    </row>
    <row r="86" spans="1:50" s="36" customFormat="1">
      <c r="E86" s="37"/>
      <c r="F86" s="37"/>
      <c r="H86" s="37"/>
      <c r="I86" s="37"/>
      <c r="J86" s="37"/>
      <c r="K86" s="37"/>
      <c r="M86" s="37"/>
      <c r="N86" s="37"/>
      <c r="O86" s="37"/>
      <c r="P86" s="37"/>
      <c r="R86" s="37"/>
      <c r="S86" s="37"/>
      <c r="T86" s="37"/>
      <c r="U86" s="37"/>
      <c r="W86" s="37"/>
      <c r="X86" s="37"/>
      <c r="Y86" s="37"/>
      <c r="Z86" s="37"/>
      <c r="AB86" s="37"/>
      <c r="AC86" s="37"/>
      <c r="AD86" s="37"/>
      <c r="AE86" s="37"/>
      <c r="AG86" s="37"/>
      <c r="AH86" s="37"/>
      <c r="AI86" s="37"/>
      <c r="AJ86" s="37"/>
      <c r="AL86" s="37"/>
      <c r="AN86" s="37"/>
      <c r="AO86" s="37"/>
      <c r="AP86" s="37"/>
      <c r="AQ86" s="37"/>
      <c r="AR86" s="37"/>
      <c r="AT86" s="37"/>
      <c r="AU86" s="37"/>
      <c r="AV86" s="37"/>
      <c r="AW86" s="37"/>
      <c r="AX86" s="37"/>
    </row>
    <row r="87" spans="1:50" s="36" customFormat="1">
      <c r="E87" s="37"/>
      <c r="F87" s="37"/>
      <c r="H87" s="37"/>
      <c r="I87" s="37"/>
      <c r="J87" s="37"/>
      <c r="K87" s="37"/>
      <c r="M87" s="37"/>
      <c r="N87" s="37"/>
      <c r="O87" s="37"/>
      <c r="P87" s="37"/>
      <c r="R87" s="37"/>
      <c r="S87" s="37"/>
      <c r="T87" s="37"/>
      <c r="U87" s="37"/>
      <c r="W87" s="37"/>
      <c r="X87" s="37"/>
      <c r="Y87" s="37"/>
      <c r="Z87" s="37"/>
      <c r="AB87" s="37"/>
      <c r="AC87" s="37"/>
      <c r="AD87" s="37"/>
      <c r="AE87" s="37"/>
      <c r="AG87" s="37"/>
      <c r="AH87" s="37"/>
      <c r="AI87" s="37"/>
      <c r="AJ87" s="37"/>
      <c r="AL87" s="37"/>
      <c r="AN87" s="37"/>
      <c r="AO87" s="37"/>
      <c r="AP87" s="37"/>
      <c r="AQ87" s="37"/>
      <c r="AR87" s="37"/>
      <c r="AT87" s="37"/>
      <c r="AU87" s="37"/>
      <c r="AV87" s="37"/>
      <c r="AW87" s="37"/>
      <c r="AX87" s="37"/>
    </row>
    <row r="88" spans="1:50" s="36" customFormat="1">
      <c r="E88" s="37"/>
      <c r="F88" s="37"/>
      <c r="H88" s="37"/>
      <c r="I88" s="37"/>
      <c r="J88" s="37"/>
      <c r="K88" s="37"/>
      <c r="M88" s="37"/>
      <c r="N88" s="37"/>
      <c r="O88" s="37"/>
      <c r="P88" s="37"/>
      <c r="R88" s="37"/>
      <c r="S88" s="37"/>
      <c r="T88" s="37"/>
      <c r="U88" s="37"/>
      <c r="W88" s="37"/>
      <c r="X88" s="37"/>
      <c r="Y88" s="37"/>
      <c r="Z88" s="37"/>
      <c r="AB88" s="37"/>
      <c r="AC88" s="37"/>
      <c r="AD88" s="37"/>
      <c r="AE88" s="37"/>
      <c r="AG88" s="37"/>
      <c r="AH88" s="37"/>
      <c r="AI88" s="37"/>
      <c r="AJ88" s="37"/>
      <c r="AL88" s="37"/>
      <c r="AN88" s="37"/>
      <c r="AO88" s="37"/>
      <c r="AP88" s="37"/>
      <c r="AQ88" s="37"/>
      <c r="AR88" s="37"/>
      <c r="AT88" s="37"/>
      <c r="AU88" s="37"/>
      <c r="AV88" s="37"/>
      <c r="AW88" s="37"/>
      <c r="AX88" s="37"/>
    </row>
    <row r="89" spans="1:50" s="36" customFormat="1">
      <c r="E89" s="37"/>
      <c r="F89" s="37"/>
      <c r="H89" s="37"/>
      <c r="I89" s="37"/>
      <c r="J89" s="37"/>
      <c r="K89" s="37"/>
      <c r="M89" s="37"/>
      <c r="N89" s="37"/>
      <c r="O89" s="37"/>
      <c r="P89" s="37"/>
      <c r="R89" s="37"/>
      <c r="S89" s="37"/>
      <c r="T89" s="37"/>
      <c r="U89" s="37"/>
      <c r="W89" s="37"/>
      <c r="X89" s="37"/>
      <c r="Y89" s="37"/>
      <c r="Z89" s="37"/>
      <c r="AB89" s="37"/>
      <c r="AC89" s="37"/>
      <c r="AD89" s="37"/>
      <c r="AE89" s="37"/>
      <c r="AG89" s="37"/>
      <c r="AH89" s="37"/>
      <c r="AI89" s="37"/>
      <c r="AJ89" s="37"/>
      <c r="AL89" s="37"/>
      <c r="AN89" s="37"/>
      <c r="AO89" s="37"/>
      <c r="AP89" s="37"/>
      <c r="AQ89" s="37"/>
      <c r="AR89" s="37"/>
      <c r="AT89" s="37"/>
      <c r="AU89" s="37"/>
      <c r="AV89" s="37"/>
      <c r="AW89" s="37"/>
      <c r="AX89" s="37"/>
    </row>
    <row r="90" spans="1:50" s="36" customFormat="1">
      <c r="E90" s="37"/>
      <c r="F90" s="37"/>
      <c r="H90" s="37"/>
      <c r="I90" s="37"/>
      <c r="J90" s="37"/>
      <c r="K90" s="37"/>
      <c r="M90" s="37"/>
      <c r="N90" s="37"/>
      <c r="O90" s="37"/>
      <c r="P90" s="37"/>
      <c r="R90" s="37"/>
      <c r="S90" s="37"/>
      <c r="T90" s="37"/>
      <c r="U90" s="37"/>
      <c r="W90" s="37"/>
      <c r="X90" s="37"/>
      <c r="Y90" s="37"/>
      <c r="Z90" s="37"/>
      <c r="AB90" s="37"/>
      <c r="AC90" s="37"/>
      <c r="AD90" s="37"/>
      <c r="AE90" s="37"/>
      <c r="AG90" s="37"/>
      <c r="AH90" s="37"/>
      <c r="AI90" s="37"/>
      <c r="AJ90" s="37"/>
      <c r="AL90" s="37"/>
      <c r="AN90" s="37"/>
      <c r="AO90" s="37"/>
      <c r="AP90" s="37"/>
      <c r="AQ90" s="37"/>
      <c r="AR90" s="37"/>
      <c r="AT90" s="37"/>
      <c r="AU90" s="37"/>
      <c r="AV90" s="37"/>
      <c r="AW90" s="37"/>
      <c r="AX90" s="37"/>
    </row>
    <row r="91" spans="1:50" s="36" customFormat="1">
      <c r="E91" s="37"/>
      <c r="F91" s="37"/>
      <c r="H91" s="37"/>
      <c r="I91" s="37"/>
      <c r="J91" s="37"/>
      <c r="K91" s="37"/>
      <c r="M91" s="37"/>
      <c r="N91" s="37"/>
      <c r="O91" s="37"/>
      <c r="P91" s="37"/>
      <c r="R91" s="37"/>
      <c r="S91" s="37"/>
      <c r="T91" s="37"/>
      <c r="U91" s="37"/>
      <c r="W91" s="37"/>
      <c r="X91" s="37"/>
      <c r="Y91" s="37"/>
      <c r="Z91" s="37"/>
      <c r="AB91" s="37"/>
      <c r="AC91" s="37"/>
      <c r="AD91" s="37"/>
      <c r="AE91" s="37"/>
      <c r="AG91" s="37"/>
      <c r="AH91" s="37"/>
      <c r="AI91" s="37"/>
      <c r="AJ91" s="37"/>
      <c r="AL91" s="37"/>
      <c r="AN91" s="37"/>
      <c r="AO91" s="37"/>
      <c r="AP91" s="37"/>
      <c r="AQ91" s="37"/>
      <c r="AR91" s="37"/>
      <c r="AT91" s="37"/>
      <c r="AU91" s="37"/>
      <c r="AV91" s="37"/>
      <c r="AW91" s="37"/>
      <c r="AX91" s="37"/>
    </row>
    <row r="92" spans="1:50" s="36" customFormat="1">
      <c r="E92" s="37"/>
      <c r="F92" s="37"/>
      <c r="H92" s="37"/>
      <c r="I92" s="37"/>
      <c r="J92" s="37"/>
      <c r="K92" s="37"/>
      <c r="M92" s="37"/>
      <c r="N92" s="37"/>
      <c r="O92" s="37"/>
      <c r="P92" s="37"/>
      <c r="R92" s="37"/>
      <c r="S92" s="37"/>
      <c r="T92" s="37"/>
      <c r="U92" s="37"/>
      <c r="W92" s="37"/>
      <c r="X92" s="37"/>
      <c r="Y92" s="37"/>
      <c r="Z92" s="37"/>
      <c r="AB92" s="37"/>
      <c r="AC92" s="37"/>
      <c r="AD92" s="37"/>
      <c r="AE92" s="37"/>
      <c r="AG92" s="37"/>
      <c r="AH92" s="37"/>
      <c r="AI92" s="37"/>
      <c r="AJ92" s="37"/>
      <c r="AL92" s="37"/>
      <c r="AN92" s="37"/>
      <c r="AO92" s="37"/>
      <c r="AP92" s="37"/>
      <c r="AQ92" s="37"/>
      <c r="AR92" s="37"/>
      <c r="AT92" s="37"/>
      <c r="AU92" s="37"/>
      <c r="AV92" s="37"/>
      <c r="AW92" s="37"/>
      <c r="AX92" s="37"/>
    </row>
    <row r="93" spans="1:50" s="36" customFormat="1">
      <c r="E93" s="37"/>
      <c r="F93" s="37"/>
      <c r="H93" s="37"/>
      <c r="I93" s="37"/>
      <c r="J93" s="37"/>
      <c r="K93" s="37"/>
      <c r="M93" s="37"/>
      <c r="N93" s="37"/>
      <c r="O93" s="37"/>
      <c r="P93" s="37"/>
      <c r="R93" s="37"/>
      <c r="S93" s="37"/>
      <c r="T93" s="37"/>
      <c r="U93" s="37"/>
      <c r="W93" s="37"/>
      <c r="X93" s="37"/>
      <c r="Y93" s="37"/>
      <c r="Z93" s="37"/>
      <c r="AB93" s="37"/>
      <c r="AC93" s="37"/>
      <c r="AD93" s="37"/>
      <c r="AE93" s="37"/>
      <c r="AG93" s="37"/>
      <c r="AH93" s="37"/>
      <c r="AI93" s="37"/>
      <c r="AJ93" s="37"/>
      <c r="AL93" s="37"/>
      <c r="AN93" s="37"/>
      <c r="AO93" s="37"/>
      <c r="AP93" s="37"/>
      <c r="AQ93" s="37"/>
      <c r="AR93" s="37"/>
      <c r="AT93" s="37"/>
      <c r="AU93" s="37"/>
      <c r="AV93" s="37"/>
      <c r="AW93" s="37"/>
      <c r="AX93" s="37"/>
    </row>
    <row r="94" spans="1:50" s="36" customFormat="1">
      <c r="E94" s="37"/>
      <c r="F94" s="37"/>
      <c r="H94" s="37"/>
      <c r="I94" s="37"/>
      <c r="J94" s="37"/>
      <c r="K94" s="37"/>
      <c r="M94" s="37"/>
      <c r="N94" s="37"/>
      <c r="O94" s="37"/>
      <c r="P94" s="37"/>
      <c r="R94" s="37"/>
      <c r="S94" s="37"/>
      <c r="T94" s="37"/>
      <c r="U94" s="37"/>
      <c r="W94" s="37"/>
      <c r="X94" s="37"/>
      <c r="Y94" s="37"/>
      <c r="Z94" s="37"/>
      <c r="AB94" s="37"/>
      <c r="AC94" s="37"/>
      <c r="AD94" s="37"/>
      <c r="AE94" s="37"/>
      <c r="AG94" s="37"/>
      <c r="AH94" s="37"/>
      <c r="AI94" s="37"/>
      <c r="AJ94" s="37"/>
      <c r="AL94" s="37"/>
      <c r="AN94" s="37"/>
      <c r="AO94" s="37"/>
      <c r="AP94" s="37"/>
      <c r="AQ94" s="37"/>
      <c r="AR94" s="37"/>
      <c r="AT94" s="37"/>
      <c r="AU94" s="37"/>
      <c r="AV94" s="37"/>
      <c r="AW94" s="37"/>
      <c r="AX94" s="37"/>
    </row>
    <row r="95" spans="1:50" s="36" customFormat="1">
      <c r="E95" s="37"/>
      <c r="F95" s="37"/>
      <c r="H95" s="37"/>
      <c r="I95" s="37"/>
      <c r="J95" s="37"/>
      <c r="K95" s="37"/>
      <c r="M95" s="37"/>
      <c r="N95" s="37"/>
      <c r="O95" s="37"/>
      <c r="P95" s="37"/>
      <c r="R95" s="37"/>
      <c r="S95" s="37"/>
      <c r="T95" s="37"/>
      <c r="U95" s="37"/>
      <c r="W95" s="37"/>
      <c r="X95" s="37"/>
      <c r="Y95" s="37"/>
      <c r="Z95" s="37"/>
      <c r="AB95" s="37"/>
      <c r="AC95" s="37"/>
      <c r="AD95" s="37"/>
      <c r="AE95" s="37"/>
      <c r="AG95" s="37"/>
      <c r="AH95" s="37"/>
      <c r="AI95" s="37"/>
      <c r="AJ95" s="37"/>
      <c r="AL95" s="37"/>
      <c r="AN95" s="37"/>
      <c r="AO95" s="37"/>
      <c r="AP95" s="37"/>
      <c r="AQ95" s="37"/>
      <c r="AR95" s="37"/>
      <c r="AT95" s="37"/>
      <c r="AU95" s="37"/>
      <c r="AV95" s="37"/>
      <c r="AW95" s="37"/>
      <c r="AX95" s="37"/>
    </row>
    <row r="96" spans="1:50" s="36" customFormat="1">
      <c r="E96" s="37"/>
      <c r="F96" s="37"/>
      <c r="H96" s="37"/>
      <c r="I96" s="37"/>
      <c r="J96" s="37"/>
      <c r="K96" s="37"/>
      <c r="M96" s="37"/>
      <c r="N96" s="37"/>
      <c r="O96" s="37"/>
      <c r="P96" s="37"/>
      <c r="R96" s="37"/>
      <c r="S96" s="37"/>
      <c r="T96" s="37"/>
      <c r="U96" s="37"/>
      <c r="W96" s="37"/>
      <c r="X96" s="37"/>
      <c r="Y96" s="37"/>
      <c r="Z96" s="37"/>
      <c r="AB96" s="37"/>
      <c r="AC96" s="37"/>
      <c r="AD96" s="37"/>
      <c r="AE96" s="37"/>
      <c r="AG96" s="37"/>
      <c r="AH96" s="37"/>
      <c r="AI96" s="37"/>
      <c r="AJ96" s="37"/>
      <c r="AL96" s="37"/>
      <c r="AN96" s="37"/>
      <c r="AO96" s="37"/>
      <c r="AP96" s="37"/>
      <c r="AQ96" s="37"/>
      <c r="AR96" s="37"/>
      <c r="AT96" s="37"/>
      <c r="AU96" s="37"/>
      <c r="AV96" s="37"/>
      <c r="AW96" s="37"/>
      <c r="AX96" s="37"/>
    </row>
    <row r="97" spans="1:50" s="36" customFormat="1">
      <c r="E97" s="37"/>
      <c r="F97" s="37"/>
      <c r="H97" s="37"/>
      <c r="I97" s="37"/>
      <c r="J97" s="37"/>
      <c r="K97" s="37"/>
      <c r="M97" s="37"/>
      <c r="N97" s="37"/>
      <c r="O97" s="37"/>
      <c r="P97" s="37"/>
      <c r="R97" s="37"/>
      <c r="S97" s="37"/>
      <c r="T97" s="37"/>
      <c r="U97" s="37"/>
      <c r="W97" s="37"/>
      <c r="X97" s="37"/>
      <c r="Y97" s="37"/>
      <c r="Z97" s="37"/>
      <c r="AB97" s="37"/>
      <c r="AC97" s="37"/>
      <c r="AD97" s="37"/>
      <c r="AE97" s="37"/>
      <c r="AG97" s="37"/>
      <c r="AH97" s="37"/>
      <c r="AI97" s="37"/>
      <c r="AJ97" s="37"/>
      <c r="AL97" s="37"/>
      <c r="AN97" s="37"/>
      <c r="AO97" s="37"/>
      <c r="AP97" s="37"/>
      <c r="AQ97" s="37"/>
      <c r="AR97" s="37"/>
      <c r="AT97" s="37"/>
      <c r="AU97" s="37"/>
      <c r="AV97" s="37"/>
      <c r="AW97" s="37"/>
      <c r="AX97" s="37"/>
    </row>
    <row r="98" spans="1:50" s="36" customFormat="1">
      <c r="E98" s="37"/>
      <c r="F98" s="37"/>
      <c r="H98" s="37"/>
      <c r="I98" s="37"/>
      <c r="J98" s="37"/>
      <c r="K98" s="37"/>
      <c r="M98" s="37"/>
      <c r="N98" s="37"/>
      <c r="O98" s="37"/>
      <c r="P98" s="37"/>
      <c r="R98" s="37"/>
      <c r="S98" s="37"/>
      <c r="T98" s="37"/>
      <c r="U98" s="37"/>
      <c r="W98" s="37"/>
      <c r="X98" s="37"/>
      <c r="Y98" s="37"/>
      <c r="Z98" s="37"/>
      <c r="AB98" s="37"/>
      <c r="AC98" s="37"/>
      <c r="AD98" s="37"/>
      <c r="AE98" s="37"/>
      <c r="AG98" s="37"/>
      <c r="AH98" s="37"/>
      <c r="AI98" s="37"/>
      <c r="AJ98" s="37"/>
      <c r="AL98" s="37"/>
      <c r="AN98" s="37"/>
      <c r="AO98" s="37"/>
      <c r="AP98" s="37"/>
      <c r="AQ98" s="37"/>
      <c r="AR98" s="37"/>
      <c r="AT98" s="37"/>
      <c r="AU98" s="37"/>
      <c r="AV98" s="37"/>
      <c r="AW98" s="37"/>
      <c r="AX98" s="37"/>
    </row>
    <row r="99" spans="1:50" s="36" customFormat="1">
      <c r="E99" s="37"/>
      <c r="F99" s="37"/>
      <c r="H99" s="37"/>
      <c r="I99" s="37"/>
      <c r="J99" s="37"/>
      <c r="K99" s="37"/>
      <c r="M99" s="37"/>
      <c r="N99" s="37"/>
      <c r="O99" s="37"/>
      <c r="P99" s="37"/>
      <c r="R99" s="37"/>
      <c r="S99" s="37"/>
      <c r="T99" s="37"/>
      <c r="U99" s="37"/>
      <c r="W99" s="37"/>
      <c r="X99" s="37"/>
      <c r="Y99" s="37"/>
      <c r="Z99" s="37"/>
      <c r="AB99" s="37"/>
      <c r="AC99" s="37"/>
      <c r="AD99" s="37"/>
      <c r="AE99" s="37"/>
      <c r="AG99" s="37"/>
      <c r="AH99" s="37"/>
      <c r="AI99" s="37"/>
      <c r="AJ99" s="37"/>
      <c r="AL99" s="37"/>
      <c r="AN99" s="37"/>
      <c r="AO99" s="37"/>
      <c r="AP99" s="37"/>
      <c r="AQ99" s="37"/>
      <c r="AR99" s="37"/>
      <c r="AT99" s="37"/>
      <c r="AU99" s="37"/>
      <c r="AV99" s="37"/>
      <c r="AW99" s="37"/>
      <c r="AX99" s="37"/>
    </row>
    <row r="100" spans="1:50" s="36" customFormat="1">
      <c r="E100" s="37"/>
      <c r="F100" s="37"/>
      <c r="H100" s="37"/>
      <c r="I100" s="37"/>
      <c r="J100" s="37"/>
      <c r="K100" s="37"/>
      <c r="M100" s="37"/>
      <c r="N100" s="37"/>
      <c r="O100" s="37"/>
      <c r="P100" s="37"/>
      <c r="R100" s="37"/>
      <c r="S100" s="37"/>
      <c r="T100" s="37"/>
      <c r="U100" s="37"/>
      <c r="W100" s="37"/>
      <c r="X100" s="37"/>
      <c r="Y100" s="37"/>
      <c r="Z100" s="37"/>
      <c r="AB100" s="37"/>
      <c r="AC100" s="37"/>
      <c r="AD100" s="37"/>
      <c r="AE100" s="37"/>
      <c r="AG100" s="37"/>
      <c r="AH100" s="37"/>
      <c r="AI100" s="37"/>
      <c r="AJ100" s="37"/>
      <c r="AL100" s="37"/>
      <c r="AN100" s="37"/>
      <c r="AO100" s="37"/>
      <c r="AP100" s="37"/>
      <c r="AQ100" s="37"/>
      <c r="AR100" s="37"/>
      <c r="AT100" s="37"/>
      <c r="AU100" s="37"/>
      <c r="AV100" s="37"/>
      <c r="AW100" s="37"/>
      <c r="AX100" s="37"/>
    </row>
    <row r="101" spans="1:50" s="36" customFormat="1">
      <c r="E101" s="37"/>
      <c r="F101" s="37"/>
      <c r="H101" s="37"/>
      <c r="I101" s="37"/>
      <c r="J101" s="37"/>
      <c r="K101" s="37"/>
      <c r="M101" s="37"/>
      <c r="N101" s="37"/>
      <c r="O101" s="37"/>
      <c r="P101" s="37"/>
      <c r="R101" s="37"/>
      <c r="S101" s="37"/>
      <c r="T101" s="37"/>
      <c r="U101" s="37"/>
      <c r="W101" s="37"/>
      <c r="X101" s="37"/>
      <c r="Y101" s="37"/>
      <c r="Z101" s="37"/>
      <c r="AB101" s="37"/>
      <c r="AC101" s="37"/>
      <c r="AD101" s="37"/>
      <c r="AE101" s="37"/>
      <c r="AG101" s="37"/>
      <c r="AH101" s="37"/>
      <c r="AI101" s="37"/>
      <c r="AJ101" s="37"/>
      <c r="AL101" s="37"/>
      <c r="AN101" s="37"/>
      <c r="AO101" s="37"/>
      <c r="AP101" s="37"/>
      <c r="AQ101" s="37"/>
      <c r="AR101" s="37"/>
      <c r="AT101" s="37"/>
      <c r="AU101" s="37"/>
      <c r="AV101" s="37"/>
      <c r="AW101" s="37"/>
      <c r="AX101" s="37"/>
    </row>
    <row r="102" spans="1:50" s="36" customFormat="1">
      <c r="E102" s="37"/>
      <c r="F102" s="37"/>
      <c r="H102" s="37"/>
      <c r="I102" s="37"/>
      <c r="J102" s="37"/>
      <c r="K102" s="37"/>
      <c r="M102" s="37"/>
      <c r="N102" s="37"/>
      <c r="O102" s="37"/>
      <c r="P102" s="37"/>
      <c r="R102" s="37"/>
      <c r="S102" s="37"/>
      <c r="T102" s="37"/>
      <c r="U102" s="37"/>
      <c r="W102" s="37"/>
      <c r="X102" s="37"/>
      <c r="Y102" s="37"/>
      <c r="Z102" s="37"/>
      <c r="AB102" s="37"/>
      <c r="AC102" s="37"/>
      <c r="AD102" s="37"/>
      <c r="AE102" s="37"/>
      <c r="AG102" s="37"/>
      <c r="AH102" s="37"/>
      <c r="AI102" s="37"/>
      <c r="AJ102" s="37"/>
      <c r="AL102" s="37"/>
      <c r="AN102" s="37"/>
      <c r="AO102" s="37"/>
      <c r="AP102" s="37"/>
      <c r="AQ102" s="37"/>
      <c r="AR102" s="37"/>
      <c r="AT102" s="37"/>
      <c r="AU102" s="37"/>
      <c r="AV102" s="37"/>
      <c r="AW102" s="37"/>
      <c r="AX102" s="37"/>
    </row>
    <row r="103" spans="1:50" s="36" customFormat="1">
      <c r="E103" s="37"/>
      <c r="F103" s="37"/>
      <c r="H103" s="37"/>
      <c r="I103" s="37"/>
      <c r="J103" s="37"/>
      <c r="K103" s="37"/>
      <c r="M103" s="37"/>
      <c r="N103" s="37"/>
      <c r="O103" s="37"/>
      <c r="P103" s="37"/>
      <c r="R103" s="37"/>
      <c r="S103" s="37"/>
      <c r="T103" s="37"/>
      <c r="U103" s="37"/>
      <c r="W103" s="37"/>
      <c r="X103" s="37"/>
      <c r="Y103" s="37"/>
      <c r="Z103" s="37"/>
      <c r="AB103" s="37"/>
      <c r="AC103" s="37"/>
      <c r="AD103" s="37"/>
      <c r="AE103" s="37"/>
      <c r="AG103" s="37"/>
      <c r="AH103" s="37"/>
      <c r="AI103" s="37"/>
      <c r="AJ103" s="37"/>
      <c r="AL103" s="37"/>
      <c r="AN103" s="37"/>
      <c r="AO103" s="37"/>
      <c r="AP103" s="37"/>
      <c r="AQ103" s="37"/>
      <c r="AR103" s="37"/>
      <c r="AT103" s="37"/>
      <c r="AU103" s="37"/>
      <c r="AV103" s="37"/>
      <c r="AW103" s="37"/>
      <c r="AX103" s="37"/>
    </row>
    <row r="104" spans="1:50" s="37" customFormat="1">
      <c r="A104" s="36"/>
      <c r="B104" s="36"/>
      <c r="C104" s="36"/>
      <c r="D104" s="36"/>
      <c r="G104" s="36"/>
      <c r="L104" s="36"/>
      <c r="Q104" s="36"/>
      <c r="V104" s="36"/>
      <c r="AA104" s="36"/>
      <c r="AF104" s="36"/>
      <c r="AK104" s="36"/>
      <c r="AM104" s="36"/>
      <c r="AS104" s="36"/>
    </row>
    <row r="105" spans="1:50" s="36" customFormat="1">
      <c r="E105" s="37"/>
      <c r="F105" s="37"/>
      <c r="H105" s="37"/>
      <c r="I105" s="37"/>
      <c r="J105" s="37"/>
      <c r="K105" s="37"/>
      <c r="M105" s="37"/>
      <c r="N105" s="37"/>
      <c r="O105" s="37"/>
      <c r="P105" s="37"/>
      <c r="R105" s="37"/>
      <c r="S105" s="37"/>
      <c r="T105" s="37"/>
      <c r="U105" s="37"/>
      <c r="W105" s="37"/>
      <c r="X105" s="37"/>
      <c r="Y105" s="37"/>
      <c r="Z105" s="37"/>
      <c r="AB105" s="37"/>
      <c r="AC105" s="37"/>
      <c r="AD105" s="37"/>
      <c r="AE105" s="37"/>
      <c r="AG105" s="37"/>
      <c r="AH105" s="37"/>
      <c r="AI105" s="37"/>
      <c r="AJ105" s="37"/>
      <c r="AL105" s="37"/>
      <c r="AN105" s="37"/>
      <c r="AO105" s="37"/>
      <c r="AP105" s="37"/>
      <c r="AQ105" s="37"/>
      <c r="AR105" s="37"/>
      <c r="AT105" s="37"/>
      <c r="AU105" s="37"/>
      <c r="AV105" s="37"/>
      <c r="AW105" s="37"/>
      <c r="AX105" s="37"/>
    </row>
    <row r="106" spans="1:50" s="36" customFormat="1">
      <c r="E106" s="37"/>
      <c r="F106" s="37"/>
      <c r="H106" s="37"/>
      <c r="I106" s="37"/>
      <c r="J106" s="37"/>
      <c r="K106" s="37"/>
      <c r="M106" s="37"/>
      <c r="N106" s="37"/>
      <c r="O106" s="37"/>
      <c r="P106" s="37"/>
      <c r="R106" s="37"/>
      <c r="S106" s="37"/>
      <c r="T106" s="37"/>
      <c r="U106" s="37"/>
      <c r="W106" s="37"/>
      <c r="X106" s="37"/>
      <c r="Y106" s="37"/>
      <c r="Z106" s="37"/>
      <c r="AB106" s="37"/>
      <c r="AC106" s="37"/>
      <c r="AD106" s="37"/>
      <c r="AE106" s="37"/>
      <c r="AG106" s="37"/>
      <c r="AH106" s="37"/>
      <c r="AI106" s="37"/>
      <c r="AJ106" s="37"/>
      <c r="AL106" s="37"/>
      <c r="AN106" s="37"/>
      <c r="AO106" s="37"/>
      <c r="AP106" s="37"/>
      <c r="AQ106" s="37"/>
      <c r="AR106" s="37"/>
      <c r="AT106" s="37"/>
      <c r="AU106" s="37"/>
      <c r="AV106" s="37"/>
      <c r="AW106" s="37"/>
      <c r="AX106" s="37"/>
    </row>
    <row r="107" spans="1:50" s="36" customFormat="1">
      <c r="E107" s="37"/>
      <c r="F107" s="37"/>
      <c r="H107" s="37"/>
      <c r="I107" s="37"/>
      <c r="J107" s="37"/>
      <c r="K107" s="37"/>
      <c r="M107" s="37"/>
      <c r="N107" s="37"/>
      <c r="O107" s="37"/>
      <c r="P107" s="37"/>
      <c r="R107" s="37"/>
      <c r="S107" s="37"/>
      <c r="T107" s="37"/>
      <c r="U107" s="37"/>
      <c r="W107" s="37"/>
      <c r="X107" s="37"/>
      <c r="Y107" s="37"/>
      <c r="Z107" s="37"/>
      <c r="AB107" s="37"/>
      <c r="AC107" s="37"/>
      <c r="AD107" s="37"/>
      <c r="AE107" s="37"/>
      <c r="AG107" s="37"/>
      <c r="AH107" s="37"/>
      <c r="AI107" s="37"/>
      <c r="AJ107" s="37"/>
      <c r="AL107" s="37"/>
      <c r="AN107" s="37"/>
      <c r="AO107" s="37"/>
      <c r="AP107" s="37"/>
      <c r="AQ107" s="37"/>
      <c r="AR107" s="37"/>
      <c r="AT107" s="37"/>
      <c r="AU107" s="37"/>
      <c r="AV107" s="37"/>
      <c r="AW107" s="37"/>
      <c r="AX107" s="37"/>
    </row>
    <row r="108" spans="1:50" s="36" customFormat="1">
      <c r="E108" s="37"/>
      <c r="F108" s="37"/>
      <c r="H108" s="37"/>
      <c r="I108" s="37"/>
      <c r="J108" s="37"/>
      <c r="K108" s="37"/>
      <c r="M108" s="37"/>
      <c r="N108" s="37"/>
      <c r="O108" s="37"/>
      <c r="P108" s="37"/>
      <c r="R108" s="37"/>
      <c r="S108" s="37"/>
      <c r="T108" s="37"/>
      <c r="U108" s="37"/>
      <c r="W108" s="37"/>
      <c r="X108" s="37"/>
      <c r="Y108" s="37"/>
      <c r="Z108" s="37"/>
      <c r="AB108" s="37"/>
      <c r="AC108" s="37"/>
      <c r="AD108" s="37"/>
      <c r="AE108" s="37"/>
      <c r="AG108" s="37"/>
      <c r="AH108" s="37"/>
      <c r="AI108" s="37"/>
      <c r="AJ108" s="37"/>
      <c r="AL108" s="37"/>
      <c r="AN108" s="37"/>
      <c r="AO108" s="37"/>
      <c r="AP108" s="37"/>
      <c r="AQ108" s="37"/>
      <c r="AR108" s="37"/>
      <c r="AT108" s="37"/>
      <c r="AU108" s="37"/>
      <c r="AV108" s="37"/>
      <c r="AW108" s="37"/>
      <c r="AX108" s="37"/>
    </row>
  </sheetData>
  <mergeCells count="24">
    <mergeCell ref="AF2:AI2"/>
    <mergeCell ref="M66:M69"/>
    <mergeCell ref="G5:G6"/>
    <mergeCell ref="L5:L6"/>
    <mergeCell ref="Q5:Q6"/>
    <mergeCell ref="V5:V6"/>
    <mergeCell ref="AA5:AA6"/>
    <mergeCell ref="AF5:AF6"/>
    <mergeCell ref="AM5:AM6"/>
    <mergeCell ref="AS5:AS6"/>
    <mergeCell ref="AM2:AV2"/>
    <mergeCell ref="G4:J4"/>
    <mergeCell ref="L4:O4"/>
    <mergeCell ref="Q4:T4"/>
    <mergeCell ref="V4:Y4"/>
    <mergeCell ref="AA4:AD4"/>
    <mergeCell ref="AF4:AH4"/>
    <mergeCell ref="AM4:AP4"/>
    <mergeCell ref="AS4:AV4"/>
    <mergeCell ref="G2:J2"/>
    <mergeCell ref="L2:O2"/>
    <mergeCell ref="Q2:T2"/>
    <mergeCell ref="V2:Y2"/>
    <mergeCell ref="AA2:AD2"/>
  </mergeCells>
  <printOptions horizontalCentered="1" verticalCentered="1"/>
  <pageMargins left="0.25" right="0.25" top="0.75" bottom="0.75" header="0.3" footer="0.3"/>
  <pageSetup scale="2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bbbdfe-e28d-4400-a787-fa8689654ece">
      <Terms xmlns="http://schemas.microsoft.com/office/infopath/2007/PartnerControls"/>
    </lcf76f155ced4ddcb4097134ff3c332f>
    <TaxCatchAll xmlns="b995caa8-c599-465c-85e6-d061a0aa3d2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35C37FF0B7BF40A469807B3557D740" ma:contentTypeVersion="19" ma:contentTypeDescription="Crée un document." ma:contentTypeScope="" ma:versionID="4ab4dfc8dda79bec05c407b6a75d6ebe">
  <xsd:schema xmlns:xsd="http://www.w3.org/2001/XMLSchema" xmlns:xs="http://www.w3.org/2001/XMLSchema" xmlns:p="http://schemas.microsoft.com/office/2006/metadata/properties" xmlns:ns2="b9bbbdfe-e28d-4400-a787-fa8689654ece" xmlns:ns3="b995caa8-c599-465c-85e6-d061a0aa3d29" targetNamespace="http://schemas.microsoft.com/office/2006/metadata/properties" ma:root="true" ma:fieldsID="60e9b83ce8d4b0950cd7acf541dfaa15" ns2:_="" ns3:_="">
    <xsd:import namespace="b9bbbdfe-e28d-4400-a787-fa8689654ece"/>
    <xsd:import namespace="b995caa8-c599-465c-85e6-d061a0aa3d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bdfe-e28d-4400-a787-fa8689654e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3e165e1e-8df5-4a15-b652-d937b5ab2d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5caa8-c599-465c-85e6-d061a0aa3d2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0efd461-0863-4a5d-8e34-26da13f49d40}" ma:internalName="TaxCatchAll" ma:showField="CatchAllData" ma:web="b995caa8-c599-465c-85e6-d061a0aa3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AE2071-9CB4-4DF9-B030-9AAC81DD1B1E}">
  <ds:schemaRefs>
    <ds:schemaRef ds:uri="http://schemas.microsoft.com/office/2006/metadata/properties"/>
    <ds:schemaRef ds:uri="http://schemas.microsoft.com/office/infopath/2007/PartnerControls"/>
    <ds:schemaRef ds:uri="b9bbbdfe-e28d-4400-a787-fa8689654ece"/>
    <ds:schemaRef ds:uri="b995caa8-c599-465c-85e6-d061a0aa3d29"/>
  </ds:schemaRefs>
</ds:datastoreItem>
</file>

<file path=customXml/itemProps2.xml><?xml version="1.0" encoding="utf-8"?>
<ds:datastoreItem xmlns:ds="http://schemas.openxmlformats.org/officeDocument/2006/customXml" ds:itemID="{A675D0C0-AED9-40FD-82AA-0B06CEFCA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bbbdfe-e28d-4400-a787-fa8689654ece"/>
    <ds:schemaRef ds:uri="b995caa8-c599-465c-85e6-d061a0aa3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663A62-50E2-4CD6-87E0-D7A5947C72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 - États des résultats</vt:lpstr>
      <vt:lpstr>'A - États des résultats'!Impression_des_titres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Sarah-Maude Larose</dc:creator>
  <cp:lastModifiedBy>Noël, Mélanie</cp:lastModifiedBy>
  <cp:lastPrinted>2025-11-27T16:57:44Z</cp:lastPrinted>
  <dcterms:created xsi:type="dcterms:W3CDTF">2025-11-24T22:21:48Z</dcterms:created>
  <dcterms:modified xsi:type="dcterms:W3CDTF">2025-11-27T19:41:43Z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0x0101001235C37FF0B7BF40A469807B3557D740</vt:lpwstr>
  </property>
  <property fmtid="{D5CDD505-2E9C-101B-9397-08002B2CF9AE}" pid="3" name="MediaServiceImageTags">
    <vt:lpwstr/>
  </property>
</Properties>
</file>